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4800" windowWidth="22170" windowHeight="3990" tabRatio="858"/>
  </bookViews>
  <sheets>
    <sheet name="3. План освоен" sheetId="9" r:id="rId1"/>
  </sheets>
  <definedNames>
    <definedName name="_xlnm._FilterDatabase" localSheetId="0" hidden="1">'3. План освоен'!$A$17:$AM$158</definedName>
  </definedNames>
  <calcPr calcId="145621"/>
</workbook>
</file>

<file path=xl/calcChain.xml><?xml version="1.0" encoding="utf-8"?>
<calcChain xmlns="http://schemas.openxmlformats.org/spreadsheetml/2006/main">
  <c r="AK75" i="9" l="1"/>
  <c r="AL75" i="9"/>
  <c r="O26" i="9" l="1"/>
  <c r="O25" i="9" s="1"/>
  <c r="N26" i="9"/>
  <c r="M26" i="9"/>
  <c r="L26" i="9"/>
  <c r="K26" i="9"/>
  <c r="J26" i="9"/>
  <c r="I26" i="9"/>
  <c r="H26" i="9"/>
  <c r="N25" i="9"/>
  <c r="M25" i="9"/>
  <c r="L25" i="9"/>
  <c r="K25" i="9"/>
  <c r="J25" i="9"/>
  <c r="I25" i="9"/>
  <c r="H25" i="9"/>
  <c r="O24" i="9"/>
  <c r="N24" i="9"/>
  <c r="M24" i="9"/>
  <c r="L24" i="9"/>
  <c r="K24" i="9"/>
  <c r="J24" i="9"/>
  <c r="I24" i="9"/>
  <c r="H24" i="9"/>
  <c r="O23" i="9"/>
  <c r="N23" i="9"/>
  <c r="M23" i="9"/>
  <c r="L23" i="9"/>
  <c r="K23" i="9"/>
  <c r="J23" i="9"/>
  <c r="I23" i="9"/>
  <c r="H23" i="9"/>
  <c r="O22" i="9"/>
  <c r="N22" i="9"/>
  <c r="M22" i="9"/>
  <c r="L22" i="9"/>
  <c r="K22" i="9"/>
  <c r="J22" i="9"/>
  <c r="I22" i="9"/>
  <c r="H22" i="9"/>
  <c r="O21" i="9"/>
  <c r="N21" i="9"/>
  <c r="M21" i="9"/>
  <c r="L21" i="9"/>
  <c r="K21" i="9"/>
  <c r="J21" i="9"/>
  <c r="I21" i="9"/>
  <c r="H21" i="9"/>
  <c r="O20" i="9"/>
  <c r="N20" i="9"/>
  <c r="M20" i="9"/>
  <c r="L20" i="9"/>
  <c r="K20" i="9"/>
  <c r="J20" i="9"/>
  <c r="I20" i="9"/>
  <c r="H20" i="9"/>
  <c r="O19" i="9"/>
  <c r="N19" i="9"/>
  <c r="M19" i="9"/>
  <c r="L19" i="9"/>
  <c r="K19" i="9"/>
  <c r="J19" i="9"/>
  <c r="I19" i="9"/>
  <c r="H19" i="9"/>
  <c r="O18" i="9"/>
  <c r="N18" i="9"/>
  <c r="M18" i="9"/>
  <c r="L18" i="9"/>
  <c r="K18" i="9"/>
  <c r="H18" i="9"/>
  <c r="AJ75" i="9"/>
  <c r="AK25" i="9"/>
  <c r="AI25" i="9"/>
  <c r="AH25" i="9"/>
  <c r="AG25" i="9"/>
  <c r="AF25" i="9"/>
  <c r="AE25" i="9"/>
  <c r="AD25" i="9"/>
  <c r="AC25" i="9"/>
  <c r="AB25" i="9"/>
  <c r="AA25" i="9"/>
  <c r="Z25" i="9"/>
  <c r="Y25" i="9"/>
  <c r="X25" i="9"/>
  <c r="W25" i="9"/>
  <c r="V25" i="9"/>
  <c r="U25" i="9"/>
  <c r="T25" i="9"/>
  <c r="S25" i="9"/>
  <c r="R25" i="9"/>
  <c r="Q25" i="9"/>
  <c r="P25" i="9"/>
  <c r="AI18" i="9"/>
  <c r="AH18" i="9"/>
  <c r="AG18" i="9"/>
  <c r="AF18" i="9"/>
  <c r="AE18" i="9"/>
  <c r="AD18" i="9"/>
  <c r="AC18" i="9"/>
  <c r="AB18" i="9"/>
  <c r="AA18" i="9"/>
  <c r="Z18" i="9"/>
  <c r="Y18" i="9"/>
  <c r="X18" i="9"/>
  <c r="W18" i="9"/>
  <c r="V18" i="9"/>
  <c r="U18" i="9"/>
  <c r="T18" i="9"/>
  <c r="S18" i="9"/>
  <c r="R18" i="9"/>
  <c r="Q18" i="9"/>
  <c r="P18" i="9"/>
  <c r="AL26" i="9"/>
  <c r="AK26" i="9"/>
  <c r="AJ26" i="9"/>
  <c r="AI26" i="9"/>
  <c r="AH26" i="9"/>
  <c r="AG26" i="9"/>
  <c r="AF26" i="9"/>
  <c r="AE26" i="9"/>
  <c r="AD26" i="9"/>
  <c r="AC26" i="9"/>
  <c r="AB26" i="9"/>
  <c r="AA26" i="9"/>
  <c r="Z26" i="9"/>
  <c r="Y26" i="9"/>
  <c r="X26" i="9"/>
  <c r="W26" i="9"/>
  <c r="V26" i="9"/>
  <c r="U26" i="9"/>
  <c r="T26" i="9"/>
  <c r="S26" i="9"/>
  <c r="R26" i="9"/>
  <c r="Q26" i="9"/>
  <c r="P26" i="9"/>
  <c r="P19" i="9" s="1"/>
  <c r="AL35" i="9"/>
  <c r="AK35" i="9"/>
  <c r="AJ35" i="9"/>
  <c r="AI35" i="9"/>
  <c r="AH35" i="9"/>
  <c r="AG35" i="9"/>
  <c r="AF35" i="9"/>
  <c r="AE35" i="9"/>
  <c r="AD35" i="9"/>
  <c r="AC35" i="9"/>
  <c r="AB35" i="9"/>
  <c r="AA35" i="9"/>
  <c r="Z35" i="9"/>
  <c r="Y35" i="9"/>
  <c r="X35" i="9"/>
  <c r="W35" i="9"/>
  <c r="V35" i="9"/>
  <c r="U35" i="9"/>
  <c r="T35" i="9"/>
  <c r="S35" i="9"/>
  <c r="R35" i="9"/>
  <c r="Q35" i="9"/>
  <c r="P35" i="9"/>
  <c r="P74" i="9"/>
  <c r="P73" i="9"/>
  <c r="P72" i="9"/>
  <c r="P71" i="9"/>
  <c r="P70" i="9"/>
  <c r="P69" i="9"/>
  <c r="P68" i="9"/>
  <c r="P67" i="9"/>
  <c r="P66" i="9"/>
  <c r="P65" i="9"/>
  <c r="P64" i="9"/>
  <c r="P63" i="9"/>
  <c r="AL62" i="9"/>
  <c r="AK62" i="9"/>
  <c r="AJ62" i="9"/>
  <c r="AI62" i="9"/>
  <c r="AH62" i="9"/>
  <c r="AG62" i="9"/>
  <c r="AF62" i="9"/>
  <c r="AE62" i="9"/>
  <c r="AD62" i="9"/>
  <c r="AC62" i="9"/>
  <c r="AB62" i="9"/>
  <c r="AA62" i="9"/>
  <c r="Z62" i="9"/>
  <c r="Y62" i="9"/>
  <c r="X62" i="9"/>
  <c r="W62" i="9"/>
  <c r="V62" i="9"/>
  <c r="U62" i="9"/>
  <c r="T62" i="9"/>
  <c r="S62" i="9"/>
  <c r="R62" i="9"/>
  <c r="Q62" i="9"/>
  <c r="P61" i="9"/>
  <c r="P60" i="9"/>
  <c r="P59" i="9"/>
  <c r="P58" i="9"/>
  <c r="P57" i="9"/>
  <c r="P56" i="9"/>
  <c r="P55" i="9"/>
  <c r="P50" i="9"/>
  <c r="P49" i="9"/>
  <c r="P48" i="9"/>
  <c r="P47" i="9"/>
  <c r="P46" i="9"/>
  <c r="P45" i="9"/>
  <c r="P44" i="9"/>
  <c r="P43" i="9"/>
  <c r="P42" i="9"/>
  <c r="P41" i="9"/>
  <c r="P40" i="9"/>
  <c r="P39" i="9"/>
  <c r="P38" i="9"/>
  <c r="P37" i="9"/>
  <c r="AK36" i="9"/>
  <c r="AJ36" i="9"/>
  <c r="AI36" i="9"/>
  <c r="AH36" i="9"/>
  <c r="AG36" i="9"/>
  <c r="AF36" i="9"/>
  <c r="AE36" i="9"/>
  <c r="AD36" i="9"/>
  <c r="AC36" i="9"/>
  <c r="AB36" i="9"/>
  <c r="AA36" i="9"/>
  <c r="Z36" i="9"/>
  <c r="Y36" i="9"/>
  <c r="X36" i="9"/>
  <c r="W36" i="9"/>
  <c r="V36" i="9"/>
  <c r="U36" i="9"/>
  <c r="T36" i="9"/>
  <c r="S36" i="9"/>
  <c r="R36" i="9"/>
  <c r="Q36" i="9"/>
  <c r="AI75" i="9"/>
  <c r="AH75" i="9"/>
  <c r="AG75" i="9"/>
  <c r="AF75" i="9"/>
  <c r="AE75" i="9"/>
  <c r="AD75" i="9"/>
  <c r="AC75" i="9"/>
  <c r="AB75" i="9"/>
  <c r="AA75" i="9"/>
  <c r="Z75" i="9"/>
  <c r="Y75" i="9"/>
  <c r="X75" i="9"/>
  <c r="W75" i="9"/>
  <c r="V75" i="9"/>
  <c r="U75" i="9"/>
  <c r="T75" i="9"/>
  <c r="S75" i="9"/>
  <c r="R75" i="9"/>
  <c r="Q75" i="9"/>
  <c r="P75" i="9"/>
  <c r="AK76" i="9"/>
  <c r="AI76" i="9"/>
  <c r="AH76" i="9"/>
  <c r="AG76" i="9"/>
  <c r="AF76" i="9"/>
  <c r="AE76" i="9"/>
  <c r="AD76" i="9"/>
  <c r="AC76" i="9"/>
  <c r="AB76" i="9"/>
  <c r="AA76" i="9"/>
  <c r="Z76" i="9"/>
  <c r="Y76" i="9"/>
  <c r="X76" i="9"/>
  <c r="W76" i="9"/>
  <c r="V76" i="9"/>
  <c r="U76" i="9"/>
  <c r="T76" i="9"/>
  <c r="S76" i="9"/>
  <c r="R76" i="9"/>
  <c r="Q76" i="9"/>
  <c r="P76" i="9"/>
  <c r="P111" i="9"/>
  <c r="P110" i="9"/>
  <c r="P109" i="9"/>
  <c r="P108" i="9"/>
  <c r="P107" i="9"/>
  <c r="P106" i="9"/>
  <c r="P103" i="9"/>
  <c r="P102" i="9"/>
  <c r="P100" i="9"/>
  <c r="P99" i="9"/>
  <c r="P98" i="9"/>
  <c r="P97" i="9"/>
  <c r="P95" i="9"/>
  <c r="P91" i="9"/>
  <c r="P89" i="9"/>
  <c r="P88" i="9"/>
  <c r="P87" i="9"/>
  <c r="P86" i="9"/>
  <c r="P85" i="9"/>
  <c r="P84" i="9"/>
  <c r="P81" i="9"/>
  <c r="P79" i="9"/>
  <c r="P78" i="9"/>
  <c r="P77" i="9" s="1"/>
  <c r="AL77" i="9"/>
  <c r="AK77" i="9"/>
  <c r="AJ77" i="9"/>
  <c r="AI77" i="9"/>
  <c r="AH77" i="9"/>
  <c r="AG77" i="9"/>
  <c r="AF77" i="9"/>
  <c r="AE77" i="9"/>
  <c r="AD77" i="9"/>
  <c r="AC77" i="9"/>
  <c r="AB77" i="9"/>
  <c r="AA77" i="9"/>
  <c r="Z77" i="9"/>
  <c r="Y77" i="9"/>
  <c r="X77" i="9"/>
  <c r="W77" i="9"/>
  <c r="V77" i="9"/>
  <c r="U77" i="9"/>
  <c r="T77" i="9"/>
  <c r="S77" i="9"/>
  <c r="R77" i="9"/>
  <c r="Q77" i="9"/>
  <c r="AK82" i="9"/>
  <c r="AJ82" i="9"/>
  <c r="AJ76" i="9" s="1"/>
  <c r="AJ25" i="9" s="1"/>
  <c r="AI82" i="9"/>
  <c r="AH82" i="9"/>
  <c r="AG82" i="9"/>
  <c r="AF82" i="9"/>
  <c r="AE82" i="9"/>
  <c r="AD82" i="9"/>
  <c r="AC82" i="9"/>
  <c r="AB82" i="9"/>
  <c r="AA82" i="9"/>
  <c r="Z82" i="9"/>
  <c r="Y82" i="9"/>
  <c r="X82" i="9"/>
  <c r="W82" i="9"/>
  <c r="V82" i="9"/>
  <c r="U82" i="9"/>
  <c r="T82" i="9"/>
  <c r="S82" i="9"/>
  <c r="R82" i="9"/>
  <c r="Q82" i="9"/>
  <c r="AL112" i="9"/>
  <c r="AK112" i="9"/>
  <c r="AJ112" i="9"/>
  <c r="AI112" i="9"/>
  <c r="AH112" i="9"/>
  <c r="AG112" i="9"/>
  <c r="AF112" i="9"/>
  <c r="AE112" i="9"/>
  <c r="AD112" i="9"/>
  <c r="AC112" i="9"/>
  <c r="AB112" i="9"/>
  <c r="AA112" i="9"/>
  <c r="Z112" i="9"/>
  <c r="Y112" i="9"/>
  <c r="X112" i="9"/>
  <c r="W112" i="9"/>
  <c r="V112" i="9"/>
  <c r="U112" i="9"/>
  <c r="T112" i="9"/>
  <c r="S112" i="9"/>
  <c r="R112" i="9"/>
  <c r="Q112" i="9"/>
  <c r="P112" i="9"/>
  <c r="P118" i="9"/>
  <c r="P116" i="9"/>
  <c r="P115" i="9"/>
  <c r="P114" i="9"/>
  <c r="AL113" i="9"/>
  <c r="AK113" i="9"/>
  <c r="AJ113" i="9"/>
  <c r="AI113" i="9"/>
  <c r="AH113" i="9"/>
  <c r="AG113" i="9"/>
  <c r="AF113" i="9"/>
  <c r="AE113" i="9"/>
  <c r="AD113" i="9"/>
  <c r="AC113" i="9"/>
  <c r="AB113" i="9"/>
  <c r="AA113" i="9"/>
  <c r="Z113" i="9"/>
  <c r="Y113" i="9"/>
  <c r="X113" i="9"/>
  <c r="W113" i="9"/>
  <c r="V113" i="9"/>
  <c r="U113" i="9"/>
  <c r="T113" i="9"/>
  <c r="S113" i="9"/>
  <c r="R113" i="9"/>
  <c r="Q113" i="9"/>
  <c r="AL132" i="9"/>
  <c r="AK132" i="9"/>
  <c r="AJ132" i="9"/>
  <c r="AI132" i="9"/>
  <c r="AH132" i="9"/>
  <c r="AG132" i="9"/>
  <c r="AF132" i="9"/>
  <c r="AE132" i="9"/>
  <c r="AD132" i="9"/>
  <c r="AC132" i="9"/>
  <c r="AB132" i="9"/>
  <c r="AA132" i="9"/>
  <c r="Z132" i="9"/>
  <c r="Y132" i="9"/>
  <c r="X132" i="9"/>
  <c r="W132" i="9"/>
  <c r="V132" i="9"/>
  <c r="U132" i="9"/>
  <c r="T132" i="9"/>
  <c r="S132" i="9"/>
  <c r="R132" i="9"/>
  <c r="Q132" i="9"/>
  <c r="P132" i="9"/>
  <c r="P21" i="9" s="1"/>
  <c r="AK135" i="9"/>
  <c r="AJ135" i="9"/>
  <c r="AI135" i="9"/>
  <c r="AH135" i="9"/>
  <c r="AG135" i="9"/>
  <c r="AF135" i="9"/>
  <c r="AE135" i="9"/>
  <c r="AD135" i="9"/>
  <c r="AC135" i="9"/>
  <c r="AB135" i="9"/>
  <c r="AA135" i="9"/>
  <c r="Z135" i="9"/>
  <c r="Y135" i="9"/>
  <c r="X135" i="9"/>
  <c r="W135" i="9"/>
  <c r="V135" i="9"/>
  <c r="U135" i="9"/>
  <c r="T135" i="9"/>
  <c r="S135" i="9"/>
  <c r="R135" i="9"/>
  <c r="Q135" i="9"/>
  <c r="P135" i="9"/>
  <c r="AK143" i="9"/>
  <c r="AJ143" i="9"/>
  <c r="AI143" i="9"/>
  <c r="AH143" i="9"/>
  <c r="AG143" i="9"/>
  <c r="AF143" i="9"/>
  <c r="AE143" i="9"/>
  <c r="AD143" i="9"/>
  <c r="AC143" i="9"/>
  <c r="AB143" i="9"/>
  <c r="AA143" i="9"/>
  <c r="Z143" i="9"/>
  <c r="Y143" i="9"/>
  <c r="X143" i="9"/>
  <c r="W143" i="9"/>
  <c r="V143" i="9"/>
  <c r="U143" i="9"/>
  <c r="T143" i="9"/>
  <c r="S143" i="9"/>
  <c r="R143" i="9"/>
  <c r="Q143" i="9"/>
  <c r="P158" i="9"/>
  <c r="P154" i="9"/>
  <c r="P143" i="9" s="1"/>
  <c r="P24" i="9" s="1"/>
  <c r="P145" i="9"/>
  <c r="P144" i="9"/>
  <c r="P23" i="9"/>
  <c r="P22" i="9"/>
  <c r="P20" i="9"/>
  <c r="I18" i="9" l="1"/>
  <c r="J18" i="9"/>
  <c r="P62" i="9"/>
  <c r="P36" i="9"/>
  <c r="P82" i="9"/>
  <c r="P113" i="9"/>
  <c r="AF158" i="9"/>
  <c r="AF24" i="9" s="1"/>
  <c r="AF152" i="9"/>
  <c r="AF115" i="9"/>
  <c r="AF107" i="9"/>
  <c r="AF106" i="9"/>
  <c r="AF86" i="9"/>
  <c r="AF85" i="9"/>
  <c r="AF84" i="9"/>
  <c r="AF81" i="9"/>
  <c r="AF79" i="9"/>
  <c r="AF78" i="9"/>
  <c r="AF73" i="9"/>
  <c r="AF72" i="9"/>
  <c r="AF71" i="9"/>
  <c r="AF70" i="9"/>
  <c r="AF69" i="9"/>
  <c r="AF68" i="9"/>
  <c r="AF67" i="9"/>
  <c r="AF66" i="9"/>
  <c r="AF65" i="9"/>
  <c r="AF64" i="9"/>
  <c r="AF63" i="9"/>
  <c r="AF56" i="9"/>
  <c r="AF55" i="9"/>
  <c r="AF50" i="9"/>
  <c r="AF49" i="9"/>
  <c r="AF48" i="9"/>
  <c r="AF47" i="9"/>
  <c r="AF46" i="9"/>
  <c r="AF45" i="9"/>
  <c r="AF44" i="9"/>
  <c r="AF43" i="9"/>
  <c r="AF42" i="9"/>
  <c r="AF41" i="9"/>
  <c r="AF40" i="9"/>
  <c r="AF39" i="9"/>
  <c r="AF38" i="9"/>
  <c r="AF37" i="9"/>
  <c r="AJ24" i="9"/>
  <c r="AG24" i="9"/>
  <c r="AI24" i="9"/>
  <c r="AH24" i="9"/>
  <c r="AE24" i="9"/>
  <c r="AD24" i="9"/>
  <c r="AC24" i="9"/>
  <c r="AL23" i="9"/>
  <c r="AK23" i="9"/>
  <c r="AJ23" i="9"/>
  <c r="AI23" i="9"/>
  <c r="AH23" i="9"/>
  <c r="AG23" i="9"/>
  <c r="AF23" i="9"/>
  <c r="AE23" i="9"/>
  <c r="AD23" i="9"/>
  <c r="AC23" i="9"/>
  <c r="AK22" i="9"/>
  <c r="AJ22" i="9"/>
  <c r="AI22" i="9"/>
  <c r="AH22" i="9"/>
  <c r="AG22" i="9"/>
  <c r="AF22" i="9"/>
  <c r="AE22" i="9"/>
  <c r="AD22" i="9"/>
  <c r="AC22" i="9"/>
  <c r="AL21" i="9"/>
  <c r="AK21" i="9"/>
  <c r="AJ21" i="9"/>
  <c r="AI21" i="9"/>
  <c r="AH21" i="9"/>
  <c r="AG21" i="9"/>
  <c r="AF21" i="9"/>
  <c r="AE21" i="9"/>
  <c r="AD21" i="9"/>
  <c r="AC21" i="9"/>
  <c r="AJ20" i="9"/>
  <c r="AJ18" i="9" s="1"/>
  <c r="AG20" i="9"/>
  <c r="AC20" i="9"/>
  <c r="AH19" i="9"/>
  <c r="AI19" i="9"/>
  <c r="AE19" i="9"/>
  <c r="AD19" i="9"/>
  <c r="AD158" i="9"/>
  <c r="AD118" i="9"/>
  <c r="AD110" i="9"/>
  <c r="AD109" i="9"/>
  <c r="AD108" i="9"/>
  <c r="AD81" i="9"/>
  <c r="AD79" i="9"/>
  <c r="AD78" i="9"/>
  <c r="AD74" i="9"/>
  <c r="AD73" i="9"/>
  <c r="AD72" i="9"/>
  <c r="AD68" i="9"/>
  <c r="AD67" i="9"/>
  <c r="AD66" i="9"/>
  <c r="AD65" i="9"/>
  <c r="AD70" i="9"/>
  <c r="AD64" i="9"/>
  <c r="AD63" i="9"/>
  <c r="AD50" i="9"/>
  <c r="AD49" i="9"/>
  <c r="AD48" i="9"/>
  <c r="AD47" i="9"/>
  <c r="AD46" i="9"/>
  <c r="AD45" i="9"/>
  <c r="AD44" i="9"/>
  <c r="AD43" i="9"/>
  <c r="AD42" i="9"/>
  <c r="AD41" i="9"/>
  <c r="AD40" i="9"/>
  <c r="AD39" i="9"/>
  <c r="AD38" i="9"/>
  <c r="AD37" i="9"/>
  <c r="AH20" i="9" l="1"/>
  <c r="AE20" i="9"/>
  <c r="AD20" i="9"/>
  <c r="AI20" i="9"/>
  <c r="AF20" i="9"/>
  <c r="AJ19" i="9"/>
  <c r="AG19" i="9"/>
  <c r="AC19" i="9"/>
  <c r="AL158" i="9"/>
  <c r="AL157" i="9"/>
  <c r="AL156" i="9"/>
  <c r="AL155" i="9"/>
  <c r="AL154" i="9"/>
  <c r="AL153" i="9"/>
  <c r="AL152" i="9"/>
  <c r="AL151" i="9"/>
  <c r="AL150" i="9"/>
  <c r="AL149" i="9"/>
  <c r="AL148" i="9"/>
  <c r="AL147" i="9"/>
  <c r="AL146" i="9"/>
  <c r="AL143" i="9" s="1"/>
  <c r="AL145" i="9"/>
  <c r="AL144" i="9"/>
  <c r="AL141" i="9"/>
  <c r="AL140" i="9"/>
  <c r="AL139" i="9"/>
  <c r="AL138" i="9"/>
  <c r="AL137" i="9"/>
  <c r="AL136" i="9"/>
  <c r="AL118" i="9"/>
  <c r="AL117" i="9"/>
  <c r="AL116" i="9"/>
  <c r="AL115" i="9"/>
  <c r="AL114" i="9"/>
  <c r="AL111" i="9"/>
  <c r="AL110" i="9"/>
  <c r="AL109" i="9"/>
  <c r="AL108" i="9"/>
  <c r="AL107" i="9"/>
  <c r="AL106" i="9"/>
  <c r="AL105" i="9"/>
  <c r="AL104" i="9"/>
  <c r="AL103" i="9"/>
  <c r="AL102" i="9"/>
  <c r="AL101" i="9"/>
  <c r="AL100" i="9"/>
  <c r="AL99" i="9"/>
  <c r="AL82" i="9" s="1"/>
  <c r="AL76" i="9" s="1"/>
  <c r="AL25" i="9" s="1"/>
  <c r="AL98" i="9"/>
  <c r="AL97" i="9"/>
  <c r="AL96" i="9"/>
  <c r="AL95" i="9"/>
  <c r="AL94" i="9"/>
  <c r="AL93" i="9"/>
  <c r="AL92" i="9"/>
  <c r="AL91" i="9"/>
  <c r="AL90" i="9"/>
  <c r="AL89" i="9"/>
  <c r="AL88" i="9"/>
  <c r="AL87" i="9"/>
  <c r="AL86" i="9"/>
  <c r="AL85" i="9"/>
  <c r="AL84" i="9"/>
  <c r="AL83" i="9"/>
  <c r="AL81" i="9"/>
  <c r="AL80" i="9"/>
  <c r="AL79" i="9"/>
  <c r="AL78" i="9"/>
  <c r="AL74" i="9"/>
  <c r="AL73" i="9"/>
  <c r="AL72" i="9"/>
  <c r="AL71" i="9"/>
  <c r="AL70" i="9"/>
  <c r="AL69" i="9"/>
  <c r="AL68" i="9"/>
  <c r="AL67" i="9"/>
  <c r="AL66" i="9"/>
  <c r="AL65" i="9"/>
  <c r="AL64" i="9"/>
  <c r="AL63" i="9"/>
  <c r="AL61" i="9"/>
  <c r="AL60" i="9"/>
  <c r="AL59" i="9"/>
  <c r="AL58" i="9"/>
  <c r="AL57" i="9"/>
  <c r="AL56" i="9"/>
  <c r="AL55" i="9"/>
  <c r="AL54" i="9"/>
  <c r="AL53" i="9"/>
  <c r="AL52" i="9"/>
  <c r="AL51" i="9"/>
  <c r="AL50" i="9"/>
  <c r="AL49" i="9"/>
  <c r="AL48" i="9"/>
  <c r="AL47" i="9"/>
  <c r="AL46" i="9"/>
  <c r="AL45" i="9"/>
  <c r="AL44" i="9"/>
  <c r="AL43" i="9"/>
  <c r="AL42" i="9"/>
  <c r="AL41" i="9"/>
  <c r="AL40" i="9"/>
  <c r="AL39" i="9"/>
  <c r="AL38" i="9"/>
  <c r="AL37" i="9"/>
  <c r="AK158" i="9"/>
  <c r="AK157" i="9"/>
  <c r="AK156" i="9"/>
  <c r="AK155" i="9"/>
  <c r="AK154" i="9"/>
  <c r="AK153" i="9"/>
  <c r="AK152" i="9"/>
  <c r="AK24" i="9" s="1"/>
  <c r="AK151" i="9"/>
  <c r="AK150" i="9"/>
  <c r="AK149" i="9"/>
  <c r="AK148" i="9"/>
  <c r="AK147" i="9"/>
  <c r="AK146" i="9"/>
  <c r="AK145" i="9"/>
  <c r="AK144" i="9"/>
  <c r="AK141" i="9"/>
  <c r="AK140" i="9"/>
  <c r="AK139" i="9"/>
  <c r="AK138" i="9"/>
  <c r="AK137" i="9"/>
  <c r="AK136" i="9"/>
  <c r="AK118" i="9"/>
  <c r="AK117" i="9"/>
  <c r="AK116" i="9"/>
  <c r="AK115" i="9"/>
  <c r="AK114" i="9"/>
  <c r="AK111" i="9"/>
  <c r="AK110" i="9"/>
  <c r="AK109" i="9"/>
  <c r="AK108" i="9"/>
  <c r="AK107" i="9"/>
  <c r="AK106" i="9"/>
  <c r="AK105" i="9"/>
  <c r="AK104" i="9"/>
  <c r="AK103" i="9"/>
  <c r="AK102" i="9"/>
  <c r="AK101" i="9"/>
  <c r="AK100" i="9"/>
  <c r="AK99" i="9"/>
  <c r="AK98" i="9"/>
  <c r="AK97" i="9"/>
  <c r="AK96" i="9"/>
  <c r="AK95" i="9"/>
  <c r="AK94" i="9"/>
  <c r="AK93" i="9"/>
  <c r="AK92" i="9"/>
  <c r="AK91" i="9"/>
  <c r="AK90" i="9"/>
  <c r="AK89" i="9"/>
  <c r="AK88" i="9"/>
  <c r="AK87" i="9"/>
  <c r="AK86" i="9"/>
  <c r="AK85" i="9"/>
  <c r="AK84" i="9"/>
  <c r="AK83" i="9"/>
  <c r="AK81" i="9"/>
  <c r="AK80" i="9"/>
  <c r="AK79" i="9"/>
  <c r="AK78" i="9"/>
  <c r="AK74" i="9"/>
  <c r="AK73" i="9"/>
  <c r="AK72" i="9"/>
  <c r="AK71" i="9"/>
  <c r="AK70" i="9"/>
  <c r="AK69" i="9"/>
  <c r="AK68" i="9"/>
  <c r="AK67" i="9"/>
  <c r="AK66" i="9"/>
  <c r="AK65" i="9"/>
  <c r="AK64" i="9"/>
  <c r="AK63" i="9"/>
  <c r="AK61" i="9"/>
  <c r="AK60" i="9"/>
  <c r="AK59" i="9"/>
  <c r="AK58" i="9"/>
  <c r="AK57" i="9"/>
  <c r="AK56" i="9"/>
  <c r="AK55" i="9"/>
  <c r="AK54" i="9"/>
  <c r="AK53" i="9"/>
  <c r="AK52" i="9"/>
  <c r="AK51" i="9"/>
  <c r="AK50" i="9"/>
  <c r="AK49" i="9"/>
  <c r="AK48" i="9"/>
  <c r="AK47" i="9"/>
  <c r="AK46" i="9"/>
  <c r="AK45" i="9"/>
  <c r="AK44" i="9"/>
  <c r="AK43" i="9"/>
  <c r="AK42" i="9"/>
  <c r="AK41" i="9"/>
  <c r="AK40" i="9"/>
  <c r="AK39" i="9"/>
  <c r="AK38" i="9"/>
  <c r="AK37" i="9"/>
  <c r="AL36" i="9" l="1"/>
  <c r="AL24" i="9"/>
  <c r="AL135" i="9"/>
  <c r="AL22" i="9" s="1"/>
  <c r="AF19" i="9"/>
  <c r="AL20" i="9" l="1"/>
  <c r="AL18" i="9" s="1"/>
  <c r="AK20" i="9"/>
  <c r="AK18" i="9" s="1"/>
  <c r="AK19" i="9" l="1"/>
  <c r="AL19" i="9"/>
</calcChain>
</file>

<file path=xl/sharedStrings.xml><?xml version="1.0" encoding="utf-8"?>
<sst xmlns="http://schemas.openxmlformats.org/spreadsheetml/2006/main" count="686" uniqueCount="360">
  <si>
    <t>к приказу Минэнерго России</t>
  </si>
  <si>
    <t>Инвестиционная программа филиала "Камчатский"  АО "Оборонэнерго"</t>
  </si>
  <si>
    <t xml:space="preserve">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</si>
  <si>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</si>
  <si>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</si>
  <si>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Утвержденный план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</si>
  <si>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</si>
  <si>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</si>
  <si>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</si>
  <si>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</si>
  <si>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</si>
  <si>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</si>
  <si>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</si>
  <si>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</si>
  <si>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</si>
  <si>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</si>
  <si>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</si>
  <si>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</si>
  <si>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</si>
  <si>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</si>
  <si>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</si>
  <si>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</si>
  <si>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Камчатский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</si>
  <si>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</si>
  <si>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</si>
  <si>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</si>
  <si>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</si>
  <si>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</si>
  <si>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</si>
  <si>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</si>
  <si>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</si>
  <si>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</si>
  <si>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</si>
  <si>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</si>
  <si>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</si>
  <si>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</si>
  <si>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</si>
  <si>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</si>
  <si>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</si>
  <si>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</si>
  <si>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</si>
  <si>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</si>
  <si>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</si>
  <si>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</si>
  <si>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</si>
  <si>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Строительство ПС 110/6 кВ "Стеллера" для технологического присоединения объектов шифр 628/П" Строоительство и реконструкция объектов причального фронта в/ч 62695" и шифр 720/К "Дооборудование пункта хранения, подготовки и выдачи изделий" </t>
  </si>
  <si>
    <t>G/КМЧ/41/02/0001</t>
  </si>
  <si>
    <t>Строительство и реконструкция сооружений причаольного фронта  в рамках технологического присоединения.--шифр 583 и  Пункт хранения, подготовки и выдачи изделий МПО - шифр 720/Б. Объект  ПС 110/6 кВ "Богатыревка"</t>
  </si>
  <si>
    <t>G/КМЧ/41/02/0002</t>
  </si>
  <si>
    <t>G/КМЧ/41/02/0003</t>
  </si>
  <si>
    <t xml:space="preserve">Строительство в рамках технологического присоединения объектов  шифр  699/Р "Пункт базирования надводных кораблей проекта 20380 в/ч 40149" .Объект ПС 110/6 кВ "Южная" </t>
  </si>
  <si>
    <t>G/КМЧ/41/02/0004</t>
  </si>
  <si>
    <t>Строительство в рамках технологического присоединения объекта шифр 628/П (РП-18, РП-19)  (Строительство и реконструкция объектов энергообеспечения войсковой части 62695 )</t>
  </si>
  <si>
    <t>G/КМЧ/41/02/0005</t>
  </si>
  <si>
    <t>G/КМЧ/41/02/0006</t>
  </si>
  <si>
    <t>Строительство и реконструкция в рамках технологического присоединения объекта шифр 3002/ПВ "Строительство и реконструкция объектов пункта погрузки изделий - ПС 35/6 кВ Вилюй</t>
  </si>
  <si>
    <t>G/КМЧ/41/02/0007</t>
  </si>
  <si>
    <t>Строительство в рамках технологического присоединения КЛ-0,4 кВ ТП-28 ф.4 ул. Петра Ильичева,38</t>
  </si>
  <si>
    <t>G/КМЧ/41/02/0008</t>
  </si>
  <si>
    <t>Строительство в рамках технологического присоединения ВЛ-0.4 кВ (ТП-855) штаб инв. № 240 - ул. Солнечная, 41</t>
  </si>
  <si>
    <t>G/КМЧ/41/02/0009</t>
  </si>
  <si>
    <t>Строительство в рамках технологического присоединения ВЛ-0,4 кВ ТП-847 ф.6-жилой дом (ул. 2-я Шевченко)</t>
  </si>
  <si>
    <t>G/КМЧ/41/02/0010</t>
  </si>
  <si>
    <t>Строительство в рамках технологического присоединения ВЛ-0.4 кВ ТП-386 ф.11 - владение 36 (СНТ "Пионер")</t>
  </si>
  <si>
    <t>G/КМЧ/41/02/0011</t>
  </si>
  <si>
    <t xml:space="preserve"> Строительство в рамках технологического присоединения КЛ-0.4 кВ ТП-366 ф.1 - магазин промтоваров</t>
  </si>
  <si>
    <t>G/КМЧ/41/02/0012</t>
  </si>
  <si>
    <t xml:space="preserve"> Строительство в рамках технологического присоединения КЛ-0.4 кВ ТП-399 - станция тех. обслуживания</t>
  </si>
  <si>
    <t>G/КМЧ/41/02/0013</t>
  </si>
  <si>
    <t>Капитальное  строительство в рамках технологического присоединения объекта  " Комплекс служебно-технических зданий ПБККС, причальный фронт ПБККС"</t>
  </si>
  <si>
    <t>G/КМЧ/41/02/0014</t>
  </si>
  <si>
    <t>Строительство ВЛ-6 кВ от ТП-889 до ТП-847 район п. Радыгино</t>
  </si>
  <si>
    <t>G/КМЧ/41/02/0015</t>
  </si>
  <si>
    <t>Строительство КЛ-6 кВ от РТП "Ягодная" до РП-6</t>
  </si>
  <si>
    <t>G/КМЧ/41/02/0016</t>
  </si>
  <si>
    <t>Строительство КЛ-0.4 кВ от РУ-0.4 кВ ТП-356 до ВРУ жилого дома по ул. Мира,5</t>
  </si>
  <si>
    <t>G/КМЧ/41/02/0017</t>
  </si>
  <si>
    <t>Строительство КЛ-0.4 кВ от РУ-0.4 кВ ТП-378 до ВРУ жилого дома по ул. Мира,12</t>
  </si>
  <si>
    <t>G/КМЧ/41/02/0018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</si>
  <si>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</si>
  <si>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</si>
  <si>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ВЛ-0,4 кВ МТП-848 ф.1 - ул 2-я Шевченко (поселок) инв. № 865162842</t>
  </si>
  <si>
    <t>G/КМЧ/41/01/0001</t>
  </si>
  <si>
    <t>Реконструкция ВЛ-0,4 кВ ТП-219 (ПРЭС) ф.2 - ул.Красногвардейская инв.№865117183 дог87</t>
  </si>
  <si>
    <t>G/КМЧ/41/01/0002</t>
  </si>
  <si>
    <t>Реконструкция ВЛ-0,4 кВ ТП-301 - ф.25, ул.  Владивостокская инв.№865183243</t>
  </si>
  <si>
    <t>G/КМЧ/41/01/0003</t>
  </si>
  <si>
    <t>Реконструкция ВЛ-0,4 кВ ТП-821 ф.1 - ул.Фурманова инв №865117185</t>
  </si>
  <si>
    <t>G/КМЧ/41/01/0004</t>
  </si>
  <si>
    <t>Реконструкция ВЛ-0,4 кВ ТП-839 ф.2 - ул.Степная инв № 865117187</t>
  </si>
  <si>
    <t>G/КМЧ/41/01/0005</t>
  </si>
  <si>
    <t>Реконструкция ВЛ-0,4 кВ ТП-839 ф.4 - ул.Стеллера инв №865117181</t>
  </si>
  <si>
    <t>G/КМЧ/41/01/0006</t>
  </si>
  <si>
    <t>G/КМЧ/41/01/0007</t>
  </si>
  <si>
    <t>G/КМЧ/41/01/0008</t>
  </si>
  <si>
    <t>Реконструкция ВЛ-0,4 кВ ТП-847 ф.5 - ул. 2-я Шевченко  инв №865178152</t>
  </si>
  <si>
    <t>G/КМЧ/41/01/0009</t>
  </si>
  <si>
    <t>Реконструкция ВЛ-0,4 кВ ТП-847 ф.5 - ул. 2-я Шевченко  инв №865178152 дог18</t>
  </si>
  <si>
    <t>G/КМЧ/41/01/0010</t>
  </si>
  <si>
    <t xml:space="preserve">Реконструкция  ВЛ-0,4 кВ ТП-305 ф.3 - ул.Заводская СИП-4 4*35 0,202 км инв. №865117174 </t>
  </si>
  <si>
    <t>G/КМЧ/41/01/0011</t>
  </si>
  <si>
    <t>Реконструкция ВЛ-0,4 кВ ТП-507а ф.4 - Финский инв №865117204</t>
  </si>
  <si>
    <t>G/КМЧ/41/01/0012</t>
  </si>
  <si>
    <t>Технологическое присоединение объектов инфраструктуры администрации Вилючинского городского округа</t>
  </si>
  <si>
    <t>G/КМЧ/41/01/0013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</si>
  <si>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</si>
  <si>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</si>
  <si>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</si>
  <si>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</si>
  <si>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</si>
  <si>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</si>
  <si>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 РТП 110/35/6  кВ "Крашенинникова"</t>
  </si>
  <si>
    <t>G/КМЧ/41/01/0014</t>
  </si>
  <si>
    <t>Реконструкция Оборудование ТП-364  инв № 865117002</t>
  </si>
  <si>
    <t>G/КМЧ/41/01/0015</t>
  </si>
  <si>
    <t>Реконструкция МТП-848, ул.2-ая Шевченко, инв. №865116912. Замена трансформатора 100 кВА на 160 кВА</t>
  </si>
  <si>
    <t>G/КМЧ/41/01/0016</t>
  </si>
  <si>
    <t>Реконструкция ОРУ-35 кВ с установкой двух линейных ячеек на РТП-Приморская 110/35/6кВ мкр. Сельдевая (оборудование) инв. № 865116898</t>
  </si>
  <si>
    <t>G/КМЧ/41/01/0017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</si>
  <si>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</si>
  <si>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</si>
  <si>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Замена МВ на ВВ на РП-3, П-К, (оборудование), инв №. 865117088 - 12 шт.</t>
  </si>
  <si>
    <t>G/КМЧ/41/01/0018</t>
  </si>
  <si>
    <t>Замена ячеек КСО-366 с МВ выключателями на ячейки КСО-298Н с ВВ выключателями на ТП-104 1х400 кВА, ул. Океанская, П-К, (оборудование) инв. № 865117033 - 1 шт.</t>
  </si>
  <si>
    <t>G/КМЧ/41/01/0019</t>
  </si>
  <si>
    <t>Замена ячеек КСО-366 с МВ выключателями на ячейки КСО-298Н с ВВ выключателями на ТП-105 1х630 кВА, 1х500 кВА, мкр Антенное поле, П-К (оборудование) инв. № 865117035 - 1 шт.</t>
  </si>
  <si>
    <t>G/КМЧ/41/01/0020</t>
  </si>
  <si>
    <t>G/КМЧ/41/01/0021</t>
  </si>
  <si>
    <t>Замена ячеек КСО-366 с МВ выключателями на ячейки КСО-298Н с ВВ выключателями на ТП-128 2х630 кВА (оборудование) инв. № 865117053 - 1 шт.</t>
  </si>
  <si>
    <t>G/КМЧ/41/01/0022</t>
  </si>
  <si>
    <t>Замены МВ на ВВ на РП-14 2х400 кВА (оборудование) инв. № 865116921 - 8 шт.</t>
  </si>
  <si>
    <t>G/КМЧ/41/01/0023</t>
  </si>
  <si>
    <t>G/КМЧ/41/01/0024</t>
  </si>
  <si>
    <t>Замена МВ на ВВ на РП-1, 2х250 кВА, пос. Англичанка (оборудование) инв. № 865117087 - 2 шт.</t>
  </si>
  <si>
    <t>G/КМЧ/41/01/0025</t>
  </si>
  <si>
    <t>Замена МВ на ВВ РТП-Ягодная 35/6 кВ 2х2500 кВА, Рыбачий (оборудование) инв. № 865116967 - 12 шт.</t>
  </si>
  <si>
    <t>G/КМЧ/41/01/0026</t>
  </si>
  <si>
    <t>РТП-Завойко 110/6 кВ 1х6300 кВА, 1х10000 кВА, П-Камчатский (оборудование) инв.№ 865116885 - установка системы быстродействующего ввода резервного питания на РТП &lt;Завойко&gt; к-т 1</t>
  </si>
  <si>
    <t>G/КМЧ/41/01/0027</t>
  </si>
  <si>
    <t>РТП-Завойко 110/6 кВ 1х6300 кВА, 1х10000 кВА, П-Камчатский (оборудование) инв.№ 865116885 - Устройство системы отделитель-короткозамыкатель на ВВ-110 кВ (2 шт. 110 кВ), замена силового трансформатора Т-1 ТМН-6300 кВА</t>
  </si>
  <si>
    <t>G/КМЧ/41/01/0028</t>
  </si>
  <si>
    <t>Установка устройства микропроцессорной защиты на РП-3, П-К (оборудование), инв. № 865117088,  - 12 шт.</t>
  </si>
  <si>
    <t>G/КМЧ/41/01/0029</t>
  </si>
  <si>
    <t>Установка дуговой защиты на РП-3, П-К (оборудование), инв. № 865117088,  - 12 шт.</t>
  </si>
  <si>
    <t>G/КМЧ/41/01/0030</t>
  </si>
  <si>
    <t>Установка защит для ввода 1 и ввода 2 на РТП-Завойко 110/6 кВ 1х6300 кВА, 1х10000 кВА, П-К (оборудования) инв. № 865116885 - 2 шт.</t>
  </si>
  <si>
    <t>G/КМЧ/41/01/0031</t>
  </si>
  <si>
    <t>Установка микропроцессорной АЧР на РТП-Приморская 110/35/6 2х16000 кВА кВ мкр. Сельдевая (оборудование) инв. № 865116898, ТОР-200 Н - 2 шт.</t>
  </si>
  <si>
    <t>G/КМЧ/41/01/0032</t>
  </si>
  <si>
    <t>G/КМЧ/41/01/0033</t>
  </si>
  <si>
    <t>G/КМЧ/41/01/0034</t>
  </si>
  <si>
    <t>G/КМЧ/41/01/0035</t>
  </si>
  <si>
    <t>G/КМЧ/41/01/0036</t>
  </si>
  <si>
    <t>G/КМЧ/41/01/0037</t>
  </si>
  <si>
    <t>G/КМЧ/41/01/0038</t>
  </si>
  <si>
    <t>Установка устройства микропроцессорной защиты на РП-14 2х400 кВА  (оборудование) инв. № 865116921 - 8 шт.</t>
  </si>
  <si>
    <t>Установка дуговой защиты РП-14 2х400 кВА  (оборудование) инв. № 865116921 - 8 шт.</t>
  </si>
  <si>
    <t>Установка микропроцессорной АЧР на РТП-Завойко 110/6 кВ 1х6300 кВА, 1х10000 кВА, П-К (оборудование) инв. № 865116885 - 2 шт.</t>
  </si>
  <si>
    <t>Установка микропроцессорной защиты на РП-1, 2х250 кВА, пос. Англичанка (оборудование) инв. № 865117087 - 2 шт.</t>
  </si>
  <si>
    <t>Установка устройства микропроцессорной защиты на РТП-Ягодная 35/6 кВ 2х2500 кВА, Рыбачий (оборудование) инв. № 865116967- 12 шт.</t>
  </si>
  <si>
    <t>Монтаж шкафа управления АВР-0.4 кВ РТП-Завойко 110/6 кВ 1х6300 кВА, 1х10000 кВА, П-К (оборудование) инв.  № 865116885</t>
  </si>
  <si>
    <t>Модернизация Оборудование ТП-318 инв №865116865</t>
  </si>
  <si>
    <t>Модернизация Оборудование ТП-359 инв №865117005</t>
  </si>
  <si>
    <t>Модернизация Оборудование ТП-140 инв №865116835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</si>
  <si>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</si>
  <si>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</si>
  <si>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</si>
  <si>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</si>
  <si>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ВЛЭП-0,4 кВ ТП 546-2 ,ф.5, караул, ТХ 2 СИП-4 4х35, АС35, инв. № 864014240</t>
  </si>
  <si>
    <t>Реконструкция ВЛЭП-0,4 кВ ВЛ 0,4 ТП 546-2 ф. котельная, казарма, инв. № 864014241</t>
  </si>
  <si>
    <t>Реконструкция ВЛЭП-0,4 кВ ВЛ 0,4 ТП 546-2 ф.8 - Посёлок КНС, инв. № 864014245</t>
  </si>
  <si>
    <t>КЛ 0,4 кВ ТП-388 – Кронштадская 12, инв. № 865116333</t>
  </si>
  <si>
    <t>Реконструкция  ВЛ-6 кВ РП-280-ТП-847 яч. 5, инв. №865117980. Замена АС-70 на АС 120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</si>
  <si>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</si>
  <si>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</si>
  <si>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</si>
  <si>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</si>
  <si>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</si>
  <si>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</si>
  <si>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</si>
  <si>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</si>
  <si>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</si>
  <si>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</si>
  <si>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</si>
  <si>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</si>
  <si>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</si>
  <si>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</si>
  <si>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</si>
  <si>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</si>
  <si>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</si>
  <si>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</si>
  <si>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</si>
  <si>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</si>
  <si>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</si>
  <si>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</si>
  <si>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</si>
  <si>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</si>
  <si>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</si>
  <si>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</si>
  <si>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</si>
  <si>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</si>
  <si>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</si>
  <si>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</si>
  <si>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</si>
  <si>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</si>
  <si>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</si>
  <si>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</si>
  <si>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Реконструкция "РТП Крашенинникова" Ограждение</t>
  </si>
  <si>
    <t>G/КМЧ/41/02/0019</t>
  </si>
  <si>
    <t>Строительство ограждения территории ЦМС РЭС "Вилючинский"</t>
  </si>
  <si>
    <t>G/КМЧ/41/02/0020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</si>
  <si>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</si>
  <si>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</si>
  <si>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</si>
  <si>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</si>
  <si>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Закупка. Комплекс для релейной защиты и автоматики  </t>
  </si>
  <si>
    <t>G/КМЧ/41/03/0001</t>
  </si>
  <si>
    <t>Закупка. Вольтфазоамперметр цифровой  с акссесуарами</t>
  </si>
  <si>
    <t>G/КМЧ/41/03/0002</t>
  </si>
  <si>
    <t xml:space="preserve">Закупка. Комплекс измерительный для прогрузки первичным током </t>
  </si>
  <si>
    <t>G/КМЧ/41/03/0003</t>
  </si>
  <si>
    <t xml:space="preserve">Закупка. Измеритель коэффициента трансформации </t>
  </si>
  <si>
    <t>G/КМЧ/41/03/0004</t>
  </si>
  <si>
    <t xml:space="preserve">Закупка. Тестер трансформаторов тока </t>
  </si>
  <si>
    <t>G/КМЧ/41/03/0005</t>
  </si>
  <si>
    <t xml:space="preserve">Закупка. Измеритель сопротивления обмоток постоянному току </t>
  </si>
  <si>
    <t>G/КМЧ/41/03/0006</t>
  </si>
  <si>
    <t xml:space="preserve">Закупка. Стенд для механических испытаний </t>
  </si>
  <si>
    <t>G/КМЧ/41/03/0007</t>
  </si>
  <si>
    <t xml:space="preserve">Закупка. Высоковольтная испытательная лаборатория </t>
  </si>
  <si>
    <t>G/КМЧ/41/03/0008</t>
  </si>
  <si>
    <t>G/КМЧ/41/03/0009</t>
  </si>
  <si>
    <t>G/КМЧ/41/03/0010</t>
  </si>
  <si>
    <t>G/КМЧ/41/03/0011</t>
  </si>
  <si>
    <t>Монтаж и пуско-наладка системы пожарной сигнализации оповещения людей о пожаре в г. Петропавловск-Камчатский, ул. Морская, д. 5</t>
  </si>
  <si>
    <t>G/КМЧ/41/02/0021</t>
  </si>
  <si>
    <t>Монтаж и пуско-наладка системы пожарной сигнализации оповещения людей о пожаре в г. Елизово, ул. Шоссейная, д. 1</t>
  </si>
  <si>
    <t>G/КМЧ/41/02/0022</t>
  </si>
  <si>
    <t>Монтаж и пуско-наладка системы пожарной сигнализации оповещения людей о пожаре в ЗАТО г. Вилючинск, ул. Приморская, д. 20 и ул. Крашенинникова, д. 23</t>
  </si>
  <si>
    <t>G/КМЧ/41/02/0023</t>
  </si>
  <si>
    <t>G/КМЧ/41/04/0001</t>
  </si>
  <si>
    <t>от « 05_»  мая  2016 г. № 380</t>
  </si>
  <si>
    <t>Предложение по корректировке утвержденного плана</t>
  </si>
  <si>
    <t>Год начала  реализации инвестиционного проекта</t>
  </si>
  <si>
    <t>Год окончания реализации инвестицион-ного проекта</t>
  </si>
  <si>
    <t>План</t>
  </si>
  <si>
    <t>Итого за период реализации инвестиционной программы
(план)</t>
  </si>
  <si>
    <t xml:space="preserve">План </t>
  </si>
  <si>
    <t>Строительство в рамках технологического присоединения.Объекты шифр 3002/Р и Строительство и реконструкция специальных сооружений в/ч 31268 - шифр 720. и объекты социально бытового назначения  администрации ВГО Объект ПС 110/6 кВ "Чайка"</t>
  </si>
  <si>
    <t>Строительство в рамках технологического присоединения зоны хранения №1,2,3 в/ч 26942" (шифры П-42/11-1, П-41/11-2, П-41/11-3 Южные Коряки) - ПС 35/10 кВ Арсенал</t>
  </si>
  <si>
    <t>Приложение  №3</t>
  </si>
  <si>
    <t>Форма 3. План освоения капитальных вложений по инвестиционным проектам</t>
  </si>
  <si>
    <t>Идентифика-тор инвестицион-ного проекта</t>
  </si>
  <si>
    <t xml:space="preserve">Текущая стадия реализации инвестиционного проекта  </t>
  </si>
  <si>
    <t xml:space="preserve">Фактический объем освоения капитальных вложений на 01.01.2015 года , млн рублей 
(без НДС) </t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</si>
  <si>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</si>
  <si>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</si>
  <si>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года 2015 в прогнозных ценах соответствующих лет, 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</si>
  <si>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</si>
  <si>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</si>
  <si>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Предложение по корректировке утвержденного  плана</t>
  </si>
  <si>
    <t>год 2016</t>
  </si>
  <si>
    <t>год 2017</t>
  </si>
  <si>
    <t>год 2018</t>
  </si>
  <si>
    <t>год 2019</t>
  </si>
  <si>
    <t>Итого за период реализации инвестиционной программы
(предложение по корректировке утвержденного плана)</t>
  </si>
  <si>
    <t xml:space="preserve">План (утв. ИП 2016-19)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</si>
  <si>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</si>
  <si>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</si>
  <si>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</si>
  <si>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</si>
  <si>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</si>
  <si>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</si>
  <si>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</si>
  <si>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Факт </t>
  </si>
  <si>
    <t>Предложение по корректировке плана</t>
  </si>
  <si>
    <t>29.1</t>
  </si>
  <si>
    <t>29.2</t>
  </si>
  <si>
    <t>29.3</t>
  </si>
  <si>
    <t>29.4</t>
  </si>
  <si>
    <t>29.5</t>
  </si>
  <si>
    <t>29.6</t>
  </si>
  <si>
    <t>29.7</t>
  </si>
  <si>
    <t>29.8</t>
  </si>
  <si>
    <t>С</t>
  </si>
  <si>
    <t>G/КМЧ/41/02/0024</t>
  </si>
  <si>
    <t>G/КМЧ/41/02/0025</t>
  </si>
  <si>
    <t>G/КМЧ/41/02/0026</t>
  </si>
  <si>
    <t>G/КМЧ/41/02/0027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</si>
  <si>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в базисном уровне цен, млн рублей (без НДС)</t>
    </r>
  </si>
  <si>
    <t>Замены МВ на ВВ на ТП-114 2х630 кВА, мкр Антенное поле, П-К, (оборудование) инв. № 865117041- 1 шт.</t>
  </si>
  <si>
    <t>Поставка "Сетевое оборудование" для филиала "Камчатский" АО "Оборонэнерго"</t>
  </si>
  <si>
    <t>Поставка "Многофункциональные устройства" для филиала "Камчатский" АО "Оборонэнерго"</t>
  </si>
  <si>
    <t>Поставка "Компьютеры персональные" для филиала "Камчатский" АО "Оборонэнерго"</t>
  </si>
  <si>
    <t>Замена МВ на ВВ на РП-7 1х250 кВА. 1х160 КВА, Приморский (оборудование) инв. № 865117000- 6 шт.</t>
  </si>
  <si>
    <t>Установка устройства микропроцессорной защиты на РП-7 1х250 кВА, 1х160 кВА, Приморский, (оборудование) инв. № 865117000 - 6 шт.</t>
  </si>
  <si>
    <t>Установка дуговой защиты РП-7 1х250 кВА, 1х160 кВА, Приморский, (оборудование) инв. № 865117000 - 6 шт.</t>
  </si>
  <si>
    <t>База службы эксплуатации высоковольтных сетей в г. Елизово Камчатского края</t>
  </si>
  <si>
    <t>Строительство ограждения территории базы ПУ "Петропавловск"</t>
  </si>
  <si>
    <t>Реконструкция "РТП Приморская" Ограждение</t>
  </si>
  <si>
    <t>Замена вводов на ТМ 6300/110/6 на РТП-Завойко 110/6 инв. 865116885</t>
  </si>
  <si>
    <t>Реконструкция "РТП-60" Ограждение</t>
  </si>
  <si>
    <t>G/КМЧ/41/02/0028</t>
  </si>
  <si>
    <t>G/КМЧ/41/02/0029</t>
  </si>
  <si>
    <t>G/КМЧ/41/02/0030</t>
  </si>
  <si>
    <t>G/КМЧ/41/02/0031</t>
  </si>
  <si>
    <t>G/КМЧ/41/02/0032</t>
  </si>
  <si>
    <t>G/КМЧ/41/02/0033</t>
  </si>
  <si>
    <t>G/КМЧ/41/02/0034</t>
  </si>
  <si>
    <t>Установка дуговой защиты на РП-1, 2х250 кВА, пос. Англичанка (оборудование) инв. № 865117087 - 2 шт.</t>
  </si>
  <si>
    <t>Оплата МПЗ в целях осуществления технологического присоединения объекта по адресу: г. Петропавловск-Камчатский, ул. Боевая, д.16, кв. 2.</t>
  </si>
  <si>
    <t>Строительство «КЛ-0,4 кВ ТП-353 ф.7 - гараж»</t>
  </si>
  <si>
    <t>Модернизация ВЛ-0,4 кВ ТП-110 ф.21 - Уличное освещение, инв. № 865117182</t>
  </si>
  <si>
    <t>G/КМЧ/41/02/0035</t>
  </si>
  <si>
    <t>G/КМЧ/41/02/0036</t>
  </si>
  <si>
    <t>G/КМЧ/41/02/0037</t>
  </si>
  <si>
    <t>G/КМЧ/41/02/0038</t>
  </si>
  <si>
    <t>G/КМЧ/41/02/0039</t>
  </si>
  <si>
    <t>G/КМЧ/41/02/0040</t>
  </si>
  <si>
    <t>G/КМЧ/41/02/0041</t>
  </si>
  <si>
    <t>Cтроительство «ВЛ-0,23 кВ опора № 15 (ВЛ-0,4 кВ ТП-302 ф.9 - ул. Садовая) – дачный дом»</t>
  </si>
  <si>
    <t>Утвержденные плановые значения показателей приведены в соответствии с  Постановлением Региональной службы по тарифам и ценам Камчатского края от 14 августа 2017 г. № 540  "О внесении изменений в постановление Региональной службы по тарифам и ценам Камчатского края от 13 августа 2015 г. № 146 "Об утверждении инвестиционной программы АО "Оборонэнерго" на 2016-2019 годы".</t>
  </si>
  <si>
    <t>Строительство «ВЛ-0,4 кВ опора № 21 (ВЛ-0,4 кВ МТП-848 ф.1 - ул. 2-я Шевченко (поселок))</t>
  </si>
  <si>
    <t>Cтроительство «ВЛ 0,4 кВ ТП-386 ф.12 – ул. Набережная»</t>
  </si>
  <si>
    <t>Cтроительство «ВЛ 0,4 кВ КТПН-322 ф.6 – мкр. Приморский»</t>
  </si>
  <si>
    <t>Cтроительство «ВЛ 0,4 кВ ТП-301 ф.7 – ул. Владивостокская»</t>
  </si>
  <si>
    <t xml:space="preserve">Cтроительство «ВЛ 0,4 кВ ТП-302 ф.7 ул. Садовая – поселок» </t>
  </si>
  <si>
    <t>G/КМЧ/41/02/0042</t>
  </si>
  <si>
    <t>G/КМЧ/41/02/0043</t>
  </si>
  <si>
    <t>G/КМЧ/41/02/0044</t>
  </si>
  <si>
    <t>G/КМЧ/41/02/0045</t>
  </si>
  <si>
    <t>G/КМЧ/41/02/0046</t>
  </si>
  <si>
    <t>Поставка многофункционального крана-манипулятора (МКМ-200) для филиала "Камчатский" АО "Оборонэнерго"</t>
  </si>
  <si>
    <t>Н</t>
  </si>
  <si>
    <t>И</t>
  </si>
  <si>
    <t>З</t>
  </si>
  <si>
    <t>реквизиты решения органа исполнительной власти, утвердившего инвестиционную программу</t>
  </si>
  <si>
    <r>
      <t xml:space="preserve">Год раскрытия информации: </t>
    </r>
    <r>
      <rPr>
        <b/>
        <sz val="11"/>
        <rFont val="Times New Roman"/>
        <family val="1"/>
        <charset val="204"/>
      </rPr>
      <t>2018</t>
    </r>
    <r>
      <rPr>
        <sz val="11"/>
        <rFont val="Times New Roman"/>
        <family val="1"/>
        <charset val="204"/>
      </rPr>
      <t xml:space="preserve"> год</t>
    </r>
  </si>
  <si>
    <t>Выплаты не производились в запланированном объеме и в требуемый срок ввиду несвоевременного исполнения подрядной организации своих обязательств по договору.</t>
  </si>
  <si>
    <t xml:space="preserve">Договор расторгнут  ПИР - приняты в полном объеме. На согласовании находится закупка на выполнение строительно-монтажных работ на сумму 1 282 410 630,00 руб. </t>
  </si>
  <si>
    <t>Выплаты не производились в запланированном объеме и в требуемый срок ввиду несвоевременного исполнения подрядной организации своих обязательств по договору. Работы приняты 19.02.2018 г.</t>
  </si>
  <si>
    <t>Выплаты не производились в запланированном объеме и в требуемый срок ввиду несвоевременного исполнения подрядной организации своих обязательств по договору. Работы приняты 25.12.2017 г.</t>
  </si>
  <si>
    <t>Новые заявители</t>
  </si>
  <si>
    <t>Объект введен в августе 2017 г.</t>
  </si>
  <si>
    <t>Объект введен в  2016 г.</t>
  </si>
  <si>
    <t>Выплаты не производились в запланированном объеме и в требуемый срок ввиду несвоевременного исполнения подрядной организации своих обязательств по договору, а также в связи с расторжением договора подряда и проведение торговой процедуры по заключению нового договора подряда на выполнение заключительных работ по объекту.</t>
  </si>
  <si>
    <t>Выплаты не производились в запланированном объеме и в требуемый срок ввиду несвоевременного исполнения подрядной организации своих обязательств по договору, а также в связи с несвоевременным  исполнением  взятых на себя обязательств со стороны заявителя.</t>
  </si>
  <si>
    <t>Объект введен в  2017 г.</t>
  </si>
  <si>
    <t>Отсутствие финансовых средств в ТБР 2018 года</t>
  </si>
  <si>
    <t>Работы выполнены в полном объеме</t>
  </si>
  <si>
    <t>работы запланированы на 2019 год</t>
  </si>
  <si>
    <t>работы запланированы на 2018 год</t>
  </si>
  <si>
    <t>работы запланированы на 2019 год, в связи с аварийным состоянием объекта, необходимо провести в 2018 году</t>
  </si>
  <si>
    <t>Объект находится в аварийном состоянии, необходимо провести в 2018 году</t>
  </si>
  <si>
    <t>План на 01.01.15 года</t>
  </si>
  <si>
    <t>План 
на 01.01.18 года</t>
  </si>
  <si>
    <t>Предложение по корректировке утвержденного плана на 01.01.2018 год
на 01.01.17 года</t>
  </si>
  <si>
    <t>Отсутствие финансовых средств для выполнения работ по данному объекту</t>
  </si>
  <si>
    <t>Отсутствие финансовых средств для приобретения оборудования</t>
  </si>
  <si>
    <t>Приобретение запланировано в лизинг. Ввод основного средства будет осуществлен в 2019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</si>
</sst>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00"/>
    <numFmt numFmtId="166" formatCode="_-* #,##0.00\ _р_._-;\-* #,##0.00\ _р_._-;_-* &quot;-&quot;??\ 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vertAlign val="superscript"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7">
    <xf numFmtId="0" fontId="0" fillId="0" borderId="0"/>
    <xf numFmtId="0" fontId="2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0" fontId="1" fillId="0" borderId="0"/>
    <xf numFmtId="0" fontId="1" fillId="0" borderId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</cellStyleXfs>
  <cellXfs count="86">
    <xf numFmtId="0" fontId="0" fillId="0" borderId="0" xfId="0"/>
    <xf numFmtId="0" fontId="6" fillId="0" borderId="0" xfId="0" applyFont="1" applyAlignment="1">
      <alignment horizontal="center" vertical="center" wrapText="1"/>
    </xf>
    <xf numFmtId="165" fontId="6" fillId="2" borderId="8" xfId="0" applyNumberFormat="1" applyFont="1" applyFill="1" applyBorder="1" applyAlignment="1">
      <alignment horizontal="center" vertical="center" wrapText="1"/>
    </xf>
    <xf numFmtId="165" fontId="6" fillId="0" borderId="8" xfId="0" applyNumberFormat="1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left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165" fontId="5" fillId="0" borderId="8" xfId="0" applyNumberFormat="1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165" fontId="4" fillId="0" borderId="8" xfId="0" applyNumberFormat="1" applyFont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165" fontId="4" fillId="0" borderId="8" xfId="0" applyNumberFormat="1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0" fillId="0" borderId="0" xfId="0" applyFont="1"/>
    <xf numFmtId="2" fontId="0" fillId="0" borderId="0" xfId="0" applyNumberFormat="1" applyFont="1"/>
    <xf numFmtId="0" fontId="0" fillId="0" borderId="0" xfId="0" applyFont="1" applyAlignment="1">
      <alignment horizontal="center"/>
    </xf>
    <xf numFmtId="0" fontId="0" fillId="0" borderId="0" xfId="0" applyFont="1" applyFill="1"/>
    <xf numFmtId="0" fontId="4" fillId="0" borderId="0" xfId="0" applyFont="1" applyFill="1"/>
    <xf numFmtId="2" fontId="4" fillId="0" borderId="0" xfId="0" applyNumberFormat="1" applyFont="1" applyFill="1"/>
    <xf numFmtId="0" fontId="4" fillId="0" borderId="0" xfId="0" applyFont="1" applyFill="1" applyAlignment="1">
      <alignment horizontal="center"/>
    </xf>
    <xf numFmtId="0" fontId="4" fillId="0" borderId="0" xfId="2" applyFont="1" applyAlignment="1">
      <alignment horizontal="right"/>
    </xf>
    <xf numFmtId="0" fontId="4" fillId="0" borderId="0" xfId="0" applyFont="1"/>
    <xf numFmtId="0" fontId="7" fillId="0" borderId="0" xfId="0" applyFont="1" applyFill="1" applyAlignment="1">
      <alignment horizontal="center"/>
    </xf>
    <xf numFmtId="2" fontId="7" fillId="0" borderId="0" xfId="0" applyNumberFormat="1" applyFont="1" applyFill="1" applyAlignment="1">
      <alignment horizontal="center"/>
    </xf>
    <xf numFmtId="1" fontId="7" fillId="0" borderId="0" xfId="0" applyNumberFormat="1" applyFont="1" applyFill="1" applyBorder="1" applyAlignment="1">
      <alignment vertical="top"/>
    </xf>
    <xf numFmtId="0" fontId="4" fillId="0" borderId="8" xfId="2" applyFont="1" applyFill="1" applyBorder="1" applyAlignment="1">
      <alignment horizontal="center" vertical="center" wrapText="1"/>
    </xf>
    <xf numFmtId="0" fontId="12" fillId="0" borderId="0" xfId="0" applyFont="1"/>
    <xf numFmtId="0" fontId="7" fillId="0" borderId="0" xfId="0" applyFont="1" applyFill="1"/>
    <xf numFmtId="0" fontId="4" fillId="0" borderId="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2" fontId="5" fillId="0" borderId="8" xfId="0" applyNumberFormat="1" applyFont="1" applyFill="1" applyBorder="1" applyAlignment="1">
      <alignment horizontal="center" vertical="center" wrapText="1"/>
    </xf>
    <xf numFmtId="165" fontId="5" fillId="2" borderId="8" xfId="0" applyNumberFormat="1" applyFont="1" applyFill="1" applyBorder="1" applyAlignment="1">
      <alignment horizontal="center" vertical="center"/>
    </xf>
    <xf numFmtId="2" fontId="4" fillId="0" borderId="8" xfId="0" applyNumberFormat="1" applyFont="1" applyFill="1" applyBorder="1" applyAlignment="1">
      <alignment horizontal="center" vertical="center" wrapText="1"/>
    </xf>
    <xf numFmtId="165" fontId="5" fillId="0" borderId="8" xfId="0" applyNumberFormat="1" applyFont="1" applyFill="1" applyBorder="1" applyAlignment="1">
      <alignment horizontal="center" vertical="center" wrapText="1"/>
    </xf>
    <xf numFmtId="165" fontId="5" fillId="0" borderId="8" xfId="0" applyNumberFormat="1" applyFont="1" applyBorder="1" applyAlignment="1">
      <alignment horizontal="center" vertical="center"/>
    </xf>
    <xf numFmtId="165" fontId="5" fillId="4" borderId="8" xfId="0" applyNumberFormat="1" applyFont="1" applyFill="1" applyBorder="1" applyAlignment="1">
      <alignment horizontal="center" vertical="center"/>
    </xf>
    <xf numFmtId="0" fontId="4" fillId="4" borderId="8" xfId="0" applyFont="1" applyFill="1" applyBorder="1" applyAlignment="1">
      <alignment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left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165" fontId="6" fillId="3" borderId="8" xfId="0" applyNumberFormat="1" applyFont="1" applyFill="1" applyBorder="1" applyAlignment="1">
      <alignment horizontal="center" vertical="center" wrapText="1"/>
    </xf>
    <xf numFmtId="165" fontId="6" fillId="4" borderId="8" xfId="0" applyNumberFormat="1" applyFont="1" applyFill="1" applyBorder="1" applyAlignment="1">
      <alignment horizontal="center" vertical="center" wrapText="1"/>
    </xf>
    <xf numFmtId="165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165" fontId="5" fillId="2" borderId="8" xfId="0" applyNumberFormat="1" applyFont="1" applyFill="1" applyBorder="1" applyAlignment="1">
      <alignment horizontal="center" vertical="center" wrapText="1"/>
    </xf>
    <xf numFmtId="165" fontId="5" fillId="4" borderId="8" xfId="0" applyNumberFormat="1" applyFont="1" applyFill="1" applyBorder="1" applyAlignment="1">
      <alignment horizontal="center" vertical="center" wrapText="1"/>
    </xf>
    <xf numFmtId="165" fontId="4" fillId="4" borderId="8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165" fontId="4" fillId="0" borderId="7" xfId="0" applyNumberFormat="1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2" fontId="4" fillId="0" borderId="9" xfId="0" applyNumberFormat="1" applyFont="1" applyFill="1" applyBorder="1" applyAlignment="1">
      <alignment horizontal="center" vertical="center" wrapText="1"/>
    </xf>
    <xf numFmtId="2" fontId="4" fillId="0" borderId="10" xfId="0" applyNumberFormat="1" applyFont="1" applyFill="1" applyBorder="1" applyAlignment="1">
      <alignment horizontal="center" vertical="center" wrapText="1"/>
    </xf>
    <xf numFmtId="2" fontId="4" fillId="0" borderId="11" xfId="0" applyNumberFormat="1" applyFont="1" applyFill="1" applyBorder="1" applyAlignment="1">
      <alignment horizontal="center" vertical="center" wrapText="1"/>
    </xf>
    <xf numFmtId="2" fontId="4" fillId="0" borderId="1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top" wrapText="1"/>
    </xf>
    <xf numFmtId="0" fontId="0" fillId="0" borderId="5" xfId="0" applyFont="1" applyFill="1" applyBorder="1"/>
    <xf numFmtId="0" fontId="0" fillId="0" borderId="7" xfId="0" applyFont="1" applyFill="1" applyBorder="1"/>
    <xf numFmtId="0" fontId="7" fillId="0" borderId="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7" fillId="0" borderId="0" xfId="0" applyFont="1" applyFill="1" applyAlignment="1">
      <alignment horizontal="center"/>
    </xf>
    <xf numFmtId="0" fontId="8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</cellXfs>
  <cellStyles count="47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 2" xfId="38"/>
    <cellStyle name="Обычный 3" xfId="2"/>
    <cellStyle name="Обычный 4" xfId="39"/>
    <cellStyle name="Обычный 5" xfId="40"/>
    <cellStyle name="Обычный 7" xfId="1"/>
    <cellStyle name="Плохой 2" xfId="41"/>
    <cellStyle name="Пояснение 2" xfId="42"/>
    <cellStyle name="Примечание 2" xfId="43"/>
    <cellStyle name="Связанная ячейка 2" xfId="44"/>
    <cellStyle name="Текст предупреждения 2" xfId="45"/>
    <cellStyle name="Хороший 2" xfId="4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58"/>
  <sheetViews>
    <sheetView tabSelected="1" topLeftCell="F1" zoomScale="60" zoomScaleNormal="60" workbookViewId="0">
      <pane ySplit="16" topLeftCell="A17" activePane="bottomLeft" state="frozen"/>
      <selection pane="bottomLeft" activeCell="AM144" sqref="AM144:AM158"/>
    </sheetView>
  </sheetViews>
  <sheetFormatPr defaultColWidth="8.85546875" defaultRowHeight="15" x14ac:dyDescent="0.25"/>
  <cols>
    <col min="1" max="1" width="11.7109375" style="19" customWidth="1"/>
    <col min="2" max="2" width="52.5703125" style="19" customWidth="1"/>
    <col min="3" max="3" width="17.7109375" style="19" customWidth="1"/>
    <col min="4" max="4" width="10.42578125" style="19" customWidth="1"/>
    <col min="5" max="5" width="12.140625" style="19" customWidth="1"/>
    <col min="6" max="6" width="12.85546875" style="19" customWidth="1"/>
    <col min="7" max="7" width="13.140625" style="19" customWidth="1"/>
    <col min="8" max="9" width="17.28515625" style="20" customWidth="1"/>
    <col min="10" max="10" width="13.85546875" style="21" customWidth="1"/>
    <col min="11" max="11" width="12.7109375" style="32" customWidth="1"/>
    <col min="12" max="12" width="8.85546875" style="19" customWidth="1"/>
    <col min="13" max="13" width="10.85546875" style="19" customWidth="1"/>
    <col min="14" max="14" width="10.7109375" style="19" customWidth="1"/>
    <col min="15" max="15" width="8.85546875" style="19" customWidth="1"/>
    <col min="16" max="16" width="12.140625" style="32" customWidth="1"/>
    <col min="17" max="17" width="8.85546875" style="19" customWidth="1"/>
    <col min="18" max="18" width="10.5703125" style="19" customWidth="1"/>
    <col min="19" max="19" width="11" style="19" customWidth="1"/>
    <col min="20" max="20" width="8.85546875" style="19" customWidth="1"/>
    <col min="21" max="21" width="12.7109375" style="19" customWidth="1"/>
    <col min="22" max="22" width="13.5703125" style="19" customWidth="1"/>
    <col min="23" max="23" width="14.140625" style="19" customWidth="1"/>
    <col min="24" max="24" width="10.85546875" style="19" customWidth="1"/>
    <col min="25" max="25" width="10.5703125" style="19" customWidth="1"/>
    <col min="26" max="26" width="11.28515625" style="19" customWidth="1"/>
    <col min="27" max="28" width="8.85546875" style="22" customWidth="1"/>
    <col min="29" max="29" width="11.28515625" style="19" customWidth="1"/>
    <col min="30" max="30" width="12.85546875" style="22" customWidth="1"/>
    <col min="31" max="31" width="10.85546875" style="19" customWidth="1"/>
    <col min="32" max="32" width="13.42578125" style="22" customWidth="1"/>
    <col min="33" max="33" width="11.7109375" style="19" customWidth="1"/>
    <col min="34" max="34" width="13.42578125" style="19" customWidth="1"/>
    <col min="35" max="35" width="8.85546875" style="19" bestFit="1" customWidth="1"/>
    <col min="36" max="36" width="12.140625" style="19" customWidth="1"/>
    <col min="37" max="38" width="15.42578125" style="19" customWidth="1"/>
    <col min="39" max="39" width="13.5703125" style="19" customWidth="1"/>
    <col min="40" max="40" width="8.85546875" style="19"/>
    <col min="41" max="41" width="13.42578125" style="19" customWidth="1"/>
    <col min="42" max="16384" width="8.85546875" style="19"/>
  </cols>
  <sheetData>
    <row r="1" spans="1:42" x14ac:dyDescent="0.25">
      <c r="AL1" s="81" t="s">
        <v>250</v>
      </c>
      <c r="AM1" s="81"/>
      <c r="AN1" s="81"/>
      <c r="AO1" s="81"/>
      <c r="AP1" s="81"/>
    </row>
    <row r="2" spans="1:42" x14ac:dyDescent="0.25">
      <c r="AL2" s="82" t="s">
        <v>0</v>
      </c>
      <c r="AM2" s="82"/>
      <c r="AN2" s="82"/>
      <c r="AO2" s="82"/>
      <c r="AP2" s="82"/>
    </row>
    <row r="3" spans="1:42" x14ac:dyDescent="0.25">
      <c r="AL3" s="82" t="s">
        <v>241</v>
      </c>
      <c r="AM3" s="82"/>
      <c r="AN3" s="82"/>
      <c r="AO3" s="82"/>
      <c r="AP3" s="82"/>
    </row>
    <row r="4" spans="1:42" x14ac:dyDescent="0.25">
      <c r="AL4" s="1"/>
      <c r="AM4" s="1"/>
      <c r="AN4" s="1"/>
      <c r="AO4" s="1"/>
      <c r="AP4" s="1"/>
    </row>
    <row r="5" spans="1:42" x14ac:dyDescent="0.25">
      <c r="A5" s="23"/>
      <c r="B5" s="23"/>
      <c r="C5" s="23"/>
      <c r="D5" s="23"/>
      <c r="E5" s="23"/>
      <c r="F5" s="23"/>
      <c r="G5" s="23"/>
      <c r="H5" s="24"/>
      <c r="I5" s="24"/>
      <c r="J5" s="25"/>
      <c r="K5" s="33"/>
      <c r="L5" s="23"/>
      <c r="M5" s="23"/>
      <c r="N5" s="23"/>
      <c r="O5" s="23"/>
      <c r="P5" s="3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7"/>
      <c r="AM5" s="26"/>
    </row>
    <row r="6" spans="1:42" x14ac:dyDescent="0.25">
      <c r="A6" s="83" t="s">
        <v>251</v>
      </c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  <c r="W6" s="83"/>
      <c r="X6" s="83"/>
      <c r="Y6" s="83"/>
      <c r="Z6" s="83"/>
      <c r="AA6" s="83"/>
      <c r="AB6" s="83"/>
      <c r="AC6" s="83"/>
      <c r="AD6" s="83"/>
      <c r="AE6" s="83"/>
      <c r="AF6" s="83"/>
      <c r="AG6" s="83"/>
      <c r="AH6" s="83"/>
      <c r="AI6" s="83"/>
      <c r="AJ6" s="83"/>
      <c r="AK6" s="83"/>
      <c r="AL6" s="83"/>
      <c r="AM6" s="83"/>
    </row>
    <row r="7" spans="1:42" x14ac:dyDescent="0.25">
      <c r="A7" s="28"/>
      <c r="B7" s="28"/>
      <c r="C7" s="28"/>
      <c r="D7" s="28"/>
      <c r="E7" s="28"/>
      <c r="F7" s="28"/>
      <c r="G7" s="28"/>
      <c r="H7" s="29"/>
      <c r="I7" s="29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</row>
    <row r="8" spans="1:42" x14ac:dyDescent="0.25">
      <c r="A8" s="84" t="s">
        <v>1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84"/>
      <c r="Z8" s="84"/>
      <c r="AA8" s="84"/>
      <c r="AB8" s="84"/>
      <c r="AC8" s="84"/>
      <c r="AD8" s="84"/>
      <c r="AE8" s="84"/>
      <c r="AF8" s="84"/>
      <c r="AG8" s="84"/>
      <c r="AH8" s="84"/>
      <c r="AI8" s="84"/>
      <c r="AJ8" s="84"/>
      <c r="AK8" s="84"/>
      <c r="AL8" s="84"/>
      <c r="AM8" s="84"/>
    </row>
    <row r="9" spans="1:42" ht="15" customHeight="1" x14ac:dyDescent="0.25">
      <c r="A9" s="85" t="s">
        <v>2</v>
      </c>
      <c r="B9" s="85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  <c r="AA9" s="85"/>
      <c r="AB9" s="85"/>
      <c r="AC9" s="85"/>
      <c r="AD9" s="85"/>
      <c r="AE9" s="85"/>
      <c r="AF9" s="85"/>
      <c r="AG9" s="85"/>
      <c r="AH9" s="85"/>
      <c r="AI9" s="85"/>
      <c r="AJ9" s="85"/>
      <c r="AK9" s="85"/>
      <c r="AL9" s="85"/>
      <c r="AM9" s="85"/>
    </row>
    <row r="10" spans="1:42" ht="15" customHeight="1" x14ac:dyDescent="0.25">
      <c r="A10" s="85" t="s">
        <v>337</v>
      </c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5"/>
      <c r="AJ10" s="85"/>
      <c r="AK10" s="85"/>
      <c r="AL10" s="85"/>
      <c r="AM10" s="85"/>
    </row>
    <row r="11" spans="1:42" ht="15" customHeight="1" x14ac:dyDescent="0.25">
      <c r="A11" s="79" t="s">
        <v>321</v>
      </c>
      <c r="B11" s="79"/>
      <c r="C11" s="79"/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79"/>
      <c r="U11" s="79"/>
      <c r="V11" s="79"/>
      <c r="W11" s="79"/>
      <c r="X11" s="79"/>
      <c r="Y11" s="79"/>
      <c r="Z11" s="79"/>
      <c r="AA11" s="79"/>
      <c r="AB11" s="79"/>
      <c r="AC11" s="79"/>
      <c r="AD11" s="79"/>
      <c r="AE11" s="79"/>
      <c r="AF11" s="79"/>
      <c r="AG11" s="79"/>
      <c r="AH11" s="79"/>
      <c r="AI11" s="79"/>
      <c r="AJ11" s="79"/>
      <c r="AK11" s="79"/>
      <c r="AL11" s="79"/>
      <c r="AM11" s="79"/>
    </row>
    <row r="12" spans="1:42" ht="15" customHeight="1" x14ac:dyDescent="0.25">
      <c r="A12" s="80" t="s">
        <v>336</v>
      </c>
      <c r="B12" s="80"/>
      <c r="C12" s="80"/>
      <c r="D12" s="80"/>
      <c r="E12" s="80"/>
      <c r="F12" s="80"/>
      <c r="G12" s="80"/>
      <c r="H12" s="80"/>
      <c r="I12" s="80"/>
      <c r="J12" s="80"/>
      <c r="K12" s="80"/>
      <c r="L12" s="80"/>
      <c r="M12" s="80"/>
      <c r="N12" s="80"/>
      <c r="O12" s="80"/>
      <c r="P12" s="80"/>
      <c r="Q12" s="80"/>
      <c r="R12" s="80"/>
      <c r="S12" s="80"/>
      <c r="T12" s="80"/>
      <c r="U12" s="80"/>
      <c r="V12" s="80"/>
      <c r="W12" s="80"/>
      <c r="X12" s="80"/>
      <c r="Y12" s="80"/>
      <c r="Z12" s="80"/>
      <c r="AA12" s="80"/>
      <c r="AB12" s="80"/>
      <c r="AC12" s="80"/>
      <c r="AD12" s="80"/>
      <c r="AE12" s="80"/>
      <c r="AF12" s="80"/>
      <c r="AG12" s="80"/>
      <c r="AH12" s="80"/>
      <c r="AI12" s="80"/>
      <c r="AJ12" s="80"/>
      <c r="AK12" s="80"/>
      <c r="AL12" s="80"/>
      <c r="AM12" s="80"/>
    </row>
    <row r="13" spans="1:42" x14ac:dyDescent="0.25">
      <c r="A13" s="64"/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30"/>
    </row>
    <row r="14" spans="1:42" ht="61.7" customHeight="1" x14ac:dyDescent="0.25">
      <c r="A14" s="59" t="s">
        <v>3</v>
      </c>
      <c r="B14" s="59" t="s">
        <v>4</v>
      </c>
      <c r="C14" s="59" t="s">
        <v>252</v>
      </c>
      <c r="D14" s="59" t="s">
        <v>253</v>
      </c>
      <c r="E14" s="65" t="s">
        <v>243</v>
      </c>
      <c r="F14" s="68" t="s">
        <v>244</v>
      </c>
      <c r="G14" s="69"/>
      <c r="H14" s="72" t="s">
        <v>289</v>
      </c>
      <c r="I14" s="73"/>
      <c r="J14" s="76" t="s">
        <v>254</v>
      </c>
      <c r="K14" s="59" t="s">
        <v>255</v>
      </c>
      <c r="L14" s="59"/>
      <c r="M14" s="59"/>
      <c r="N14" s="59"/>
      <c r="O14" s="59"/>
      <c r="P14" s="59"/>
      <c r="Q14" s="59"/>
      <c r="R14" s="59"/>
      <c r="S14" s="59"/>
      <c r="T14" s="59"/>
      <c r="U14" s="60" t="s">
        <v>256</v>
      </c>
      <c r="V14" s="61"/>
      <c r="W14" s="61"/>
      <c r="X14" s="61"/>
      <c r="Y14" s="61"/>
      <c r="Z14" s="62"/>
      <c r="AA14" s="59" t="s">
        <v>257</v>
      </c>
      <c r="AB14" s="59"/>
      <c r="AC14" s="59" t="s">
        <v>258</v>
      </c>
      <c r="AD14" s="59"/>
      <c r="AE14" s="59"/>
      <c r="AF14" s="59"/>
      <c r="AG14" s="59"/>
      <c r="AH14" s="59"/>
      <c r="AI14" s="59"/>
      <c r="AJ14" s="59"/>
      <c r="AK14" s="59"/>
      <c r="AL14" s="59"/>
      <c r="AM14" s="59" t="s">
        <v>259</v>
      </c>
    </row>
    <row r="15" spans="1:42" ht="57.6" customHeight="1" x14ac:dyDescent="0.25">
      <c r="A15" s="59"/>
      <c r="B15" s="59"/>
      <c r="C15" s="59"/>
      <c r="D15" s="59"/>
      <c r="E15" s="66"/>
      <c r="F15" s="70"/>
      <c r="G15" s="71"/>
      <c r="H15" s="74"/>
      <c r="I15" s="75"/>
      <c r="J15" s="77"/>
      <c r="K15" s="59" t="s">
        <v>245</v>
      </c>
      <c r="L15" s="59"/>
      <c r="M15" s="59"/>
      <c r="N15" s="59"/>
      <c r="O15" s="59"/>
      <c r="P15" s="60" t="s">
        <v>260</v>
      </c>
      <c r="Q15" s="61"/>
      <c r="R15" s="61"/>
      <c r="S15" s="61"/>
      <c r="T15" s="62"/>
      <c r="U15" s="59" t="s">
        <v>354</v>
      </c>
      <c r="V15" s="59"/>
      <c r="W15" s="60" t="s">
        <v>355</v>
      </c>
      <c r="X15" s="62"/>
      <c r="Y15" s="59" t="s">
        <v>356</v>
      </c>
      <c r="Z15" s="59"/>
      <c r="AA15" s="59"/>
      <c r="AB15" s="59"/>
      <c r="AC15" s="63" t="s">
        <v>261</v>
      </c>
      <c r="AD15" s="63"/>
      <c r="AE15" s="63" t="s">
        <v>262</v>
      </c>
      <c r="AF15" s="63"/>
      <c r="AG15" s="63" t="s">
        <v>263</v>
      </c>
      <c r="AH15" s="63"/>
      <c r="AI15" s="63" t="s">
        <v>264</v>
      </c>
      <c r="AJ15" s="63"/>
      <c r="AK15" s="59" t="s">
        <v>246</v>
      </c>
      <c r="AL15" s="59" t="s">
        <v>265</v>
      </c>
      <c r="AM15" s="59"/>
    </row>
    <row r="16" spans="1:42" ht="120" x14ac:dyDescent="0.25">
      <c r="A16" s="59"/>
      <c r="B16" s="59"/>
      <c r="C16" s="59"/>
      <c r="D16" s="59"/>
      <c r="E16" s="67"/>
      <c r="F16" s="34" t="s">
        <v>247</v>
      </c>
      <c r="G16" s="34" t="s">
        <v>242</v>
      </c>
      <c r="H16" s="36" t="s">
        <v>266</v>
      </c>
      <c r="I16" s="38" t="s">
        <v>242</v>
      </c>
      <c r="J16" s="78"/>
      <c r="K16" s="53" t="s">
        <v>267</v>
      </c>
      <c r="L16" s="34" t="s">
        <v>268</v>
      </c>
      <c r="M16" s="34" t="s">
        <v>269</v>
      </c>
      <c r="N16" s="31" t="s">
        <v>270</v>
      </c>
      <c r="O16" s="31" t="s">
        <v>271</v>
      </c>
      <c r="P16" s="53" t="s">
        <v>267</v>
      </c>
      <c r="Q16" s="34" t="s">
        <v>268</v>
      </c>
      <c r="R16" s="34" t="s">
        <v>269</v>
      </c>
      <c r="S16" s="31" t="s">
        <v>270</v>
      </c>
      <c r="T16" s="31" t="s">
        <v>271</v>
      </c>
      <c r="U16" s="34" t="s">
        <v>272</v>
      </c>
      <c r="V16" s="34" t="s">
        <v>273</v>
      </c>
      <c r="W16" s="34" t="s">
        <v>272</v>
      </c>
      <c r="X16" s="34" t="s">
        <v>273</v>
      </c>
      <c r="Y16" s="34" t="s">
        <v>272</v>
      </c>
      <c r="Z16" s="34" t="s">
        <v>273</v>
      </c>
      <c r="AA16" s="34" t="s">
        <v>245</v>
      </c>
      <c r="AB16" s="34" t="s">
        <v>274</v>
      </c>
      <c r="AC16" s="53" t="s">
        <v>5</v>
      </c>
      <c r="AD16" s="34" t="s">
        <v>274</v>
      </c>
      <c r="AE16" s="56" t="s">
        <v>5</v>
      </c>
      <c r="AF16" s="53" t="s">
        <v>274</v>
      </c>
      <c r="AG16" s="34" t="s">
        <v>5</v>
      </c>
      <c r="AH16" s="34" t="s">
        <v>275</v>
      </c>
      <c r="AI16" s="53" t="s">
        <v>5</v>
      </c>
      <c r="AJ16" s="34" t="s">
        <v>275</v>
      </c>
      <c r="AK16" s="59"/>
      <c r="AL16" s="59"/>
      <c r="AM16" s="59"/>
    </row>
    <row r="17" spans="1:39" s="21" customFormat="1" x14ac:dyDescent="0.25">
      <c r="A17" s="16">
        <v>1</v>
      </c>
      <c r="B17" s="16">
        <v>2</v>
      </c>
      <c r="C17" s="16">
        <v>3</v>
      </c>
      <c r="D17" s="16">
        <v>4</v>
      </c>
      <c r="E17" s="16">
        <v>5</v>
      </c>
      <c r="F17" s="16">
        <v>6</v>
      </c>
      <c r="G17" s="16">
        <v>7</v>
      </c>
      <c r="H17" s="16">
        <v>8</v>
      </c>
      <c r="I17" s="16">
        <v>9</v>
      </c>
      <c r="J17" s="53">
        <v>10</v>
      </c>
      <c r="K17" s="53">
        <v>11</v>
      </c>
      <c r="L17" s="53">
        <v>12</v>
      </c>
      <c r="M17" s="53">
        <v>13</v>
      </c>
      <c r="N17" s="53">
        <v>14</v>
      </c>
      <c r="O17" s="53">
        <v>15</v>
      </c>
      <c r="P17" s="53">
        <v>16</v>
      </c>
      <c r="Q17" s="53">
        <v>17</v>
      </c>
      <c r="R17" s="53">
        <v>18</v>
      </c>
      <c r="S17" s="16">
        <v>19</v>
      </c>
      <c r="T17" s="16">
        <v>20</v>
      </c>
      <c r="U17" s="16">
        <v>21</v>
      </c>
      <c r="V17" s="16">
        <v>22</v>
      </c>
      <c r="W17" s="16">
        <v>23</v>
      </c>
      <c r="X17" s="16">
        <v>24</v>
      </c>
      <c r="Y17" s="16">
        <v>25</v>
      </c>
      <c r="Z17" s="16">
        <v>26</v>
      </c>
      <c r="AA17" s="16">
        <v>27</v>
      </c>
      <c r="AB17" s="16">
        <v>28</v>
      </c>
      <c r="AC17" s="9" t="s">
        <v>276</v>
      </c>
      <c r="AD17" s="9" t="s">
        <v>277</v>
      </c>
      <c r="AE17" s="9" t="s">
        <v>278</v>
      </c>
      <c r="AF17" s="9" t="s">
        <v>279</v>
      </c>
      <c r="AG17" s="9" t="s">
        <v>280</v>
      </c>
      <c r="AH17" s="9" t="s">
        <v>281</v>
      </c>
      <c r="AI17" s="9" t="s">
        <v>282</v>
      </c>
      <c r="AJ17" s="9" t="s">
        <v>283</v>
      </c>
      <c r="AK17" s="16">
        <v>30</v>
      </c>
      <c r="AL17" s="16">
        <v>31</v>
      </c>
      <c r="AM17" s="16">
        <v>32</v>
      </c>
    </row>
    <row r="18" spans="1:39" x14ac:dyDescent="0.25">
      <c r="A18" s="4" t="s">
        <v>6</v>
      </c>
      <c r="B18" s="6" t="s">
        <v>7</v>
      </c>
      <c r="C18" s="15" t="s">
        <v>10</v>
      </c>
      <c r="D18" s="11"/>
      <c r="E18" s="11"/>
      <c r="F18" s="11"/>
      <c r="G18" s="11"/>
      <c r="H18" s="2">
        <f t="shared" ref="H18:O18" si="0">H19+H20+H21+H22+H23+H24</f>
        <v>4471.2372881355941</v>
      </c>
      <c r="I18" s="2">
        <f t="shared" si="0"/>
        <v>5023.5755423728815</v>
      </c>
      <c r="J18" s="2">
        <f t="shared" si="0"/>
        <v>426.96610169491532</v>
      </c>
      <c r="K18" s="2">
        <f t="shared" si="0"/>
        <v>4471.236983050846</v>
      </c>
      <c r="L18" s="2">
        <f t="shared" si="0"/>
        <v>73.56679661016949</v>
      </c>
      <c r="M18" s="2">
        <f t="shared" si="0"/>
        <v>1819.2967627118642</v>
      </c>
      <c r="N18" s="2">
        <f t="shared" si="0"/>
        <v>2533.0977627118646</v>
      </c>
      <c r="O18" s="2">
        <f t="shared" si="0"/>
        <v>45.275661016949151</v>
      </c>
      <c r="P18" s="2">
        <f>P19+P20+P21+P22+P23+P24</f>
        <v>4739.5453322033909</v>
      </c>
      <c r="Q18" s="2">
        <f t="shared" ref="Q18:AL18" si="1">Q19+Q20+Q21+Q22+Q23+Q24</f>
        <v>494.64932203389827</v>
      </c>
      <c r="R18" s="2">
        <f t="shared" si="1"/>
        <v>1870.0733898305082</v>
      </c>
      <c r="S18" s="2">
        <f t="shared" si="1"/>
        <v>2629.5692711864408</v>
      </c>
      <c r="T18" s="2">
        <f t="shared" si="1"/>
        <v>31.854772881355931</v>
      </c>
      <c r="U18" s="2">
        <f t="shared" si="1"/>
        <v>4276.7296610169487</v>
      </c>
      <c r="V18" s="2">
        <f t="shared" si="1"/>
        <v>4276.7296610169487</v>
      </c>
      <c r="W18" s="2">
        <f t="shared" si="1"/>
        <v>2588.1847457627118</v>
      </c>
      <c r="X18" s="2">
        <f t="shared" si="1"/>
        <v>2588.1847457627118</v>
      </c>
      <c r="Y18" s="2">
        <f t="shared" si="1"/>
        <v>4213.7797796610166</v>
      </c>
      <c r="Z18" s="2">
        <f t="shared" si="1"/>
        <v>4213.7797796610166</v>
      </c>
      <c r="AA18" s="2">
        <f t="shared" si="1"/>
        <v>0</v>
      </c>
      <c r="AB18" s="2">
        <f t="shared" si="1"/>
        <v>0</v>
      </c>
      <c r="AC18" s="2">
        <f t="shared" si="1"/>
        <v>3060.703389830509</v>
      </c>
      <c r="AD18" s="2">
        <f t="shared" si="1"/>
        <v>215.81949152542373</v>
      </c>
      <c r="AE18" s="2">
        <f t="shared" si="1"/>
        <v>1688.5449152542374</v>
      </c>
      <c r="AF18" s="2">
        <f t="shared" si="1"/>
        <v>188.10117941050848</v>
      </c>
      <c r="AG18" s="2">
        <f t="shared" si="1"/>
        <v>2127.2483050847459</v>
      </c>
      <c r="AH18" s="2">
        <f t="shared" si="1"/>
        <v>2671.3645254237285</v>
      </c>
      <c r="AI18" s="2">
        <f t="shared" si="1"/>
        <v>530.06694915254241</v>
      </c>
      <c r="AJ18" s="2">
        <f t="shared" si="1"/>
        <v>1244.1237288135596</v>
      </c>
      <c r="AK18" s="2">
        <f t="shared" si="1"/>
        <v>2990.8799929698307</v>
      </c>
      <c r="AL18" s="2">
        <f t="shared" si="1"/>
        <v>4314.1801116138995</v>
      </c>
      <c r="AM18" s="40"/>
    </row>
    <row r="19" spans="1:39" x14ac:dyDescent="0.25">
      <c r="A19" s="5" t="s">
        <v>8</v>
      </c>
      <c r="B19" s="6" t="s">
        <v>9</v>
      </c>
      <c r="C19" s="11" t="s">
        <v>10</v>
      </c>
      <c r="D19" s="11"/>
      <c r="E19" s="11"/>
      <c r="F19" s="11"/>
      <c r="G19" s="11"/>
      <c r="H19" s="2">
        <f t="shared" ref="H19:O19" si="2">H26</f>
        <v>4132.6500000000005</v>
      </c>
      <c r="I19" s="2">
        <f t="shared" si="2"/>
        <v>4552.5928305084744</v>
      </c>
      <c r="J19" s="2">
        <f t="shared" si="2"/>
        <v>291.00593220338988</v>
      </c>
      <c r="K19" s="2">
        <f t="shared" si="2"/>
        <v>4132.6492542372871</v>
      </c>
      <c r="L19" s="2">
        <f t="shared" si="2"/>
        <v>35.149000000000001</v>
      </c>
      <c r="M19" s="2">
        <f t="shared" si="2"/>
        <v>1677.747254237288</v>
      </c>
      <c r="N19" s="2">
        <f t="shared" si="2"/>
        <v>2410.8890000000001</v>
      </c>
      <c r="O19" s="2">
        <f t="shared" si="2"/>
        <v>8.8640000000000025</v>
      </c>
      <c r="P19" s="2">
        <f>P26</f>
        <v>4492.1174745762728</v>
      </c>
      <c r="Q19" s="2">
        <v>456.23152542372878</v>
      </c>
      <c r="R19" s="2">
        <v>1628.4322033898302</v>
      </c>
      <c r="S19" s="2">
        <v>2470.1190000000001</v>
      </c>
      <c r="T19" s="2">
        <v>0.38200000000000001</v>
      </c>
      <c r="U19" s="2">
        <v>3981.921186440677</v>
      </c>
      <c r="V19" s="2">
        <v>3981.921186440677</v>
      </c>
      <c r="W19" s="2">
        <v>2315.2949152542374</v>
      </c>
      <c r="X19" s="2">
        <v>2315.2949152542374</v>
      </c>
      <c r="Y19" s="2">
        <v>3938.3092711864401</v>
      </c>
      <c r="Z19" s="2">
        <v>3938.3092711864401</v>
      </c>
      <c r="AA19" s="2">
        <v>0</v>
      </c>
      <c r="AB19" s="2">
        <v>0</v>
      </c>
      <c r="AC19" s="2">
        <f t="shared" ref="AC19:AL19" si="3">AC26</f>
        <v>2997.3483050847462</v>
      </c>
      <c r="AD19" s="2">
        <f t="shared" si="3"/>
        <v>170.98559322033898</v>
      </c>
      <c r="AE19" s="2">
        <f t="shared" si="3"/>
        <v>1666.6262711864408</v>
      </c>
      <c r="AF19" s="2">
        <f t="shared" si="3"/>
        <v>172.16068788983051</v>
      </c>
      <c r="AG19" s="2">
        <f t="shared" si="3"/>
        <v>2044.6355932203392</v>
      </c>
      <c r="AH19" s="2">
        <f t="shared" si="3"/>
        <v>2648.5219830508472</v>
      </c>
      <c r="AI19" s="2">
        <f t="shared" si="3"/>
        <v>270.65932203389832</v>
      </c>
      <c r="AJ19" s="2">
        <f t="shared" si="3"/>
        <v>1226.7398305084748</v>
      </c>
      <c r="AK19" s="2">
        <f t="shared" si="3"/>
        <v>2658.441196364407</v>
      </c>
      <c r="AL19" s="2">
        <f t="shared" si="3"/>
        <v>4218.408094669493</v>
      </c>
      <c r="AM19" s="40"/>
    </row>
    <row r="20" spans="1:39" ht="30" x14ac:dyDescent="0.25">
      <c r="A20" s="5" t="s">
        <v>11</v>
      </c>
      <c r="B20" s="6" t="s">
        <v>12</v>
      </c>
      <c r="C20" s="11" t="s">
        <v>10</v>
      </c>
      <c r="D20" s="11"/>
      <c r="E20" s="11"/>
      <c r="F20" s="11"/>
      <c r="G20" s="11"/>
      <c r="H20" s="2">
        <f t="shared" ref="H20:O20" si="4">H75</f>
        <v>149.12796610169494</v>
      </c>
      <c r="I20" s="2">
        <f t="shared" si="4"/>
        <v>286.46237288135592</v>
      </c>
      <c r="J20" s="2">
        <f t="shared" si="4"/>
        <v>135.96016949152542</v>
      </c>
      <c r="K20" s="2">
        <f t="shared" si="4"/>
        <v>149.12861016949157</v>
      </c>
      <c r="L20" s="2">
        <f t="shared" si="4"/>
        <v>24.048305084745767</v>
      </c>
      <c r="M20" s="2">
        <f t="shared" si="4"/>
        <v>67.150355932203382</v>
      </c>
      <c r="N20" s="2">
        <f t="shared" si="4"/>
        <v>57.414694915254245</v>
      </c>
      <c r="O20" s="2">
        <f t="shared" si="4"/>
        <v>0.51525423728813557</v>
      </c>
      <c r="P20" s="2">
        <f>P75</f>
        <v>233.04613559322038</v>
      </c>
      <c r="Q20" s="2">
        <v>24.048305084745767</v>
      </c>
      <c r="R20" s="2">
        <v>167.2420338983051</v>
      </c>
      <c r="S20" s="2">
        <v>94.656203389830495</v>
      </c>
      <c r="T20" s="2">
        <v>0.51525423728813557</v>
      </c>
      <c r="U20" s="2">
        <v>106.3525423728814</v>
      </c>
      <c r="V20" s="2">
        <v>106.3525423728814</v>
      </c>
      <c r="W20" s="2">
        <v>84.897457627118669</v>
      </c>
      <c r="X20" s="2">
        <v>84.897457627118669</v>
      </c>
      <c r="Y20" s="2">
        <v>92.713728813559342</v>
      </c>
      <c r="Z20" s="2">
        <v>92.713728813559342</v>
      </c>
      <c r="AA20" s="2">
        <v>0</v>
      </c>
      <c r="AB20" s="2">
        <v>0</v>
      </c>
      <c r="AC20" s="2">
        <f>AC75</f>
        <v>30.062711864406783</v>
      </c>
      <c r="AD20" s="2">
        <f t="shared" ref="AD20:AL20" si="5">AD75</f>
        <v>43.83050847457627</v>
      </c>
      <c r="AE20" s="2">
        <f t="shared" si="5"/>
        <v>21.455084745762711</v>
      </c>
      <c r="AF20" s="2">
        <f t="shared" si="5"/>
        <v>15.179420338983052</v>
      </c>
      <c r="AG20" s="2">
        <f t="shared" si="5"/>
        <v>61.539830508474587</v>
      </c>
      <c r="AH20" s="2">
        <f t="shared" si="5"/>
        <v>17.267966101694913</v>
      </c>
      <c r="AI20" s="2">
        <f t="shared" si="5"/>
        <v>92.488135593220349</v>
      </c>
      <c r="AJ20" s="2">
        <f t="shared" si="5"/>
        <v>10.219491525423729</v>
      </c>
      <c r="AK20" s="2">
        <f t="shared" si="5"/>
        <v>142.68196271186443</v>
      </c>
      <c r="AL20" s="2">
        <f t="shared" si="5"/>
        <v>81.268572881355936</v>
      </c>
      <c r="AM20" s="40"/>
    </row>
    <row r="21" spans="1:39" ht="45" x14ac:dyDescent="0.25">
      <c r="A21" s="5" t="s">
        <v>13</v>
      </c>
      <c r="B21" s="6" t="s">
        <v>14</v>
      </c>
      <c r="C21" s="11" t="s">
        <v>10</v>
      </c>
      <c r="D21" s="11"/>
      <c r="E21" s="11"/>
      <c r="F21" s="11"/>
      <c r="G21" s="11"/>
      <c r="H21" s="2">
        <f t="shared" ref="H21:O21" si="6">H132</f>
        <v>0</v>
      </c>
      <c r="I21" s="2">
        <f t="shared" si="6"/>
        <v>0</v>
      </c>
      <c r="J21" s="2">
        <f t="shared" si="6"/>
        <v>0</v>
      </c>
      <c r="K21" s="2">
        <f t="shared" si="6"/>
        <v>0</v>
      </c>
      <c r="L21" s="2">
        <f t="shared" si="6"/>
        <v>0</v>
      </c>
      <c r="M21" s="2">
        <f t="shared" si="6"/>
        <v>0</v>
      </c>
      <c r="N21" s="2">
        <f t="shared" si="6"/>
        <v>0</v>
      </c>
      <c r="O21" s="2">
        <f t="shared" si="6"/>
        <v>0</v>
      </c>
      <c r="P21" s="2">
        <f>P132</f>
        <v>0</v>
      </c>
      <c r="Q21" s="2">
        <v>0</v>
      </c>
      <c r="R21" s="2">
        <v>0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f>AC132</f>
        <v>0</v>
      </c>
      <c r="AD21" s="2">
        <f t="shared" ref="AD21:AL21" si="7">AD132</f>
        <v>0</v>
      </c>
      <c r="AE21" s="2">
        <f t="shared" si="7"/>
        <v>0</v>
      </c>
      <c r="AF21" s="2">
        <f t="shared" si="7"/>
        <v>0</v>
      </c>
      <c r="AG21" s="2">
        <f t="shared" si="7"/>
        <v>0</v>
      </c>
      <c r="AH21" s="2">
        <f t="shared" si="7"/>
        <v>0</v>
      </c>
      <c r="AI21" s="2">
        <f t="shared" si="7"/>
        <v>0</v>
      </c>
      <c r="AJ21" s="2">
        <f t="shared" si="7"/>
        <v>0</v>
      </c>
      <c r="AK21" s="2">
        <f t="shared" si="7"/>
        <v>0</v>
      </c>
      <c r="AL21" s="2">
        <f t="shared" si="7"/>
        <v>0</v>
      </c>
      <c r="AM21" s="40"/>
    </row>
    <row r="22" spans="1:39" ht="30" x14ac:dyDescent="0.25">
      <c r="A22" s="5" t="s">
        <v>15</v>
      </c>
      <c r="B22" s="6" t="s">
        <v>16</v>
      </c>
      <c r="C22" s="11" t="s">
        <v>10</v>
      </c>
      <c r="D22" s="11"/>
      <c r="E22" s="11"/>
      <c r="F22" s="11"/>
      <c r="G22" s="11"/>
      <c r="H22" s="2">
        <f t="shared" ref="H22:O22" si="8">H135</f>
        <v>147.51355932203393</v>
      </c>
      <c r="I22" s="2">
        <f t="shared" si="8"/>
        <v>147.51355932203393</v>
      </c>
      <c r="J22" s="2">
        <f t="shared" si="8"/>
        <v>0</v>
      </c>
      <c r="K22" s="2">
        <f t="shared" si="8"/>
        <v>147.51355932203393</v>
      </c>
      <c r="L22" s="2">
        <f t="shared" si="8"/>
        <v>14.369491525423729</v>
      </c>
      <c r="M22" s="2">
        <f t="shared" si="8"/>
        <v>68.350000000000009</v>
      </c>
      <c r="N22" s="2">
        <f t="shared" si="8"/>
        <v>64.794067796610165</v>
      </c>
      <c r="O22" s="2">
        <f t="shared" si="8"/>
        <v>0</v>
      </c>
      <c r="P22" s="2">
        <f>P135</f>
        <v>0</v>
      </c>
      <c r="Q22" s="2">
        <v>14.369491525423729</v>
      </c>
      <c r="R22" s="2">
        <v>68.350000000000009</v>
      </c>
      <c r="S22" s="2">
        <v>64.794067796610165</v>
      </c>
      <c r="T22" s="2">
        <v>0</v>
      </c>
      <c r="U22" s="2">
        <v>147.51355932203393</v>
      </c>
      <c r="V22" s="2">
        <v>147.51355932203393</v>
      </c>
      <c r="W22" s="2">
        <v>147.51355932203393</v>
      </c>
      <c r="X22" s="2">
        <v>147.51355932203393</v>
      </c>
      <c r="Y22" s="2">
        <v>147.51355932203393</v>
      </c>
      <c r="Z22" s="2">
        <v>147.51355932203393</v>
      </c>
      <c r="AA22" s="2">
        <v>0</v>
      </c>
      <c r="AB22" s="2">
        <v>0</v>
      </c>
      <c r="AC22" s="2">
        <f>AC135</f>
        <v>18.751694915254237</v>
      </c>
      <c r="AD22" s="2">
        <f t="shared" ref="AD22:AL22" si="9">AD135</f>
        <v>0</v>
      </c>
      <c r="AE22" s="2">
        <f t="shared" si="9"/>
        <v>0</v>
      </c>
      <c r="AF22" s="2">
        <f t="shared" si="9"/>
        <v>0</v>
      </c>
      <c r="AG22" s="2">
        <f t="shared" si="9"/>
        <v>0.95593220338983054</v>
      </c>
      <c r="AH22" s="2">
        <f t="shared" si="9"/>
        <v>0</v>
      </c>
      <c r="AI22" s="2">
        <f t="shared" si="9"/>
        <v>146.55762711864409</v>
      </c>
      <c r="AJ22" s="2">
        <f t="shared" si="9"/>
        <v>0</v>
      </c>
      <c r="AK22" s="2">
        <f t="shared" si="9"/>
        <v>147.51355932203393</v>
      </c>
      <c r="AL22" s="2">
        <f t="shared" si="9"/>
        <v>0</v>
      </c>
      <c r="AM22" s="40"/>
    </row>
    <row r="23" spans="1:39" ht="30" x14ac:dyDescent="0.25">
      <c r="A23" s="5" t="s">
        <v>17</v>
      </c>
      <c r="B23" s="6" t="s">
        <v>18</v>
      </c>
      <c r="C23" s="11" t="s">
        <v>10</v>
      </c>
      <c r="D23" s="11"/>
      <c r="E23" s="11"/>
      <c r="F23" s="11"/>
      <c r="G23" s="11"/>
      <c r="H23" s="2">
        <f t="shared" ref="H23:O23" si="10">H142</f>
        <v>0</v>
      </c>
      <c r="I23" s="2">
        <f t="shared" si="10"/>
        <v>0</v>
      </c>
      <c r="J23" s="2">
        <f t="shared" si="10"/>
        <v>0</v>
      </c>
      <c r="K23" s="2">
        <f t="shared" si="10"/>
        <v>0</v>
      </c>
      <c r="L23" s="2">
        <f t="shared" si="10"/>
        <v>0</v>
      </c>
      <c r="M23" s="2">
        <f t="shared" si="10"/>
        <v>0</v>
      </c>
      <c r="N23" s="2">
        <f t="shared" si="10"/>
        <v>0</v>
      </c>
      <c r="O23" s="2">
        <f t="shared" si="10"/>
        <v>0</v>
      </c>
      <c r="P23" s="2">
        <f>P142</f>
        <v>0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f>AC142</f>
        <v>0</v>
      </c>
      <c r="AD23" s="2">
        <f t="shared" ref="AD23:AL23" si="11">AD142</f>
        <v>0</v>
      </c>
      <c r="AE23" s="2">
        <f t="shared" si="11"/>
        <v>0</v>
      </c>
      <c r="AF23" s="2">
        <f t="shared" si="11"/>
        <v>0</v>
      </c>
      <c r="AG23" s="2">
        <f t="shared" si="11"/>
        <v>0</v>
      </c>
      <c r="AH23" s="2">
        <f t="shared" si="11"/>
        <v>0</v>
      </c>
      <c r="AI23" s="2">
        <f t="shared" si="11"/>
        <v>0</v>
      </c>
      <c r="AJ23" s="2">
        <f t="shared" si="11"/>
        <v>0</v>
      </c>
      <c r="AK23" s="2">
        <f t="shared" si="11"/>
        <v>0</v>
      </c>
      <c r="AL23" s="2">
        <f t="shared" si="11"/>
        <v>0</v>
      </c>
      <c r="AM23" s="40"/>
    </row>
    <row r="24" spans="1:39" x14ac:dyDescent="0.25">
      <c r="A24" s="5" t="s">
        <v>19</v>
      </c>
      <c r="B24" s="6" t="s">
        <v>20</v>
      </c>
      <c r="C24" s="11" t="s">
        <v>10</v>
      </c>
      <c r="D24" s="11"/>
      <c r="E24" s="11"/>
      <c r="F24" s="11"/>
      <c r="G24" s="11"/>
      <c r="H24" s="2">
        <f t="shared" ref="H24:O24" si="12">H143</f>
        <v>41.945762711864411</v>
      </c>
      <c r="I24" s="2">
        <f t="shared" si="12"/>
        <v>37.006779661016949</v>
      </c>
      <c r="J24" s="2">
        <f t="shared" si="12"/>
        <v>0</v>
      </c>
      <c r="K24" s="2">
        <f t="shared" si="12"/>
        <v>41.945559322033901</v>
      </c>
      <c r="L24" s="2">
        <f t="shared" si="12"/>
        <v>0</v>
      </c>
      <c r="M24" s="2">
        <f t="shared" si="12"/>
        <v>6.049152542372882</v>
      </c>
      <c r="N24" s="2">
        <f t="shared" si="12"/>
        <v>0</v>
      </c>
      <c r="O24" s="2">
        <f t="shared" si="12"/>
        <v>35.896406779661014</v>
      </c>
      <c r="P24" s="2">
        <f>P143</f>
        <v>14.381722033898306</v>
      </c>
      <c r="Q24" s="2">
        <v>0</v>
      </c>
      <c r="R24" s="2">
        <v>6.049152542372882</v>
      </c>
      <c r="S24" s="2">
        <v>0</v>
      </c>
      <c r="T24" s="2">
        <v>30.957518644067797</v>
      </c>
      <c r="U24" s="2">
        <v>40.942372881355936</v>
      </c>
      <c r="V24" s="2">
        <v>40.942372881355936</v>
      </c>
      <c r="W24" s="2">
        <v>40.478813559322035</v>
      </c>
      <c r="X24" s="2">
        <v>40.478813559322035</v>
      </c>
      <c r="Y24" s="2">
        <v>35.243220338983051</v>
      </c>
      <c r="Z24" s="2">
        <v>35.243220338983051</v>
      </c>
      <c r="AA24" s="2">
        <v>0</v>
      </c>
      <c r="AB24" s="2">
        <v>0</v>
      </c>
      <c r="AC24" s="2">
        <f>AC143</f>
        <v>14.540677966101697</v>
      </c>
      <c r="AD24" s="2">
        <f t="shared" ref="AD24:AL24" si="13">AD143</f>
        <v>1.0033898305084745</v>
      </c>
      <c r="AE24" s="2">
        <f t="shared" si="13"/>
        <v>0.46355932203389838</v>
      </c>
      <c r="AF24" s="2">
        <f t="shared" si="13"/>
        <v>0.76107118169491528</v>
      </c>
      <c r="AG24" s="2">
        <f t="shared" si="13"/>
        <v>20.116949152542375</v>
      </c>
      <c r="AH24" s="2">
        <f t="shared" si="13"/>
        <v>5.5745762711864408</v>
      </c>
      <c r="AI24" s="2">
        <f t="shared" si="13"/>
        <v>20.361864406779659</v>
      </c>
      <c r="AJ24" s="2">
        <f t="shared" si="13"/>
        <v>7.164406779661018</v>
      </c>
      <c r="AK24" s="2">
        <f t="shared" si="13"/>
        <v>42.243274571525419</v>
      </c>
      <c r="AL24" s="2">
        <f t="shared" si="13"/>
        <v>14.50344406305085</v>
      </c>
      <c r="AM24" s="40"/>
    </row>
    <row r="25" spans="1:39" x14ac:dyDescent="0.25">
      <c r="A25" s="7" t="s">
        <v>21</v>
      </c>
      <c r="B25" s="8" t="s">
        <v>22</v>
      </c>
      <c r="C25" s="13" t="s">
        <v>10</v>
      </c>
      <c r="D25" s="13"/>
      <c r="E25" s="13"/>
      <c r="F25" s="13"/>
      <c r="G25" s="13"/>
      <c r="H25" s="47">
        <f t="shared" ref="H25:O25" si="14">H26+H75+H132+H135+H142+H143</f>
        <v>4471.2372881355941</v>
      </c>
      <c r="I25" s="47">
        <f t="shared" si="14"/>
        <v>5023.5755423728815</v>
      </c>
      <c r="J25" s="47">
        <f t="shared" si="14"/>
        <v>426.96610169491532</v>
      </c>
      <c r="K25" s="47">
        <f t="shared" si="14"/>
        <v>4471.236983050846</v>
      </c>
      <c r="L25" s="47">
        <f t="shared" si="14"/>
        <v>73.56679661016949</v>
      </c>
      <c r="M25" s="47">
        <f t="shared" si="14"/>
        <v>1819.2967627118642</v>
      </c>
      <c r="N25" s="47">
        <f t="shared" si="14"/>
        <v>2533.0977627118646</v>
      </c>
      <c r="O25" s="47">
        <f t="shared" si="14"/>
        <v>45.275661016949151</v>
      </c>
      <c r="P25" s="47">
        <f>P26+P75+P132+P135+P142+P143</f>
        <v>4739.5453322033909</v>
      </c>
      <c r="Q25" s="47">
        <f t="shared" ref="Q25:AL25" si="15">Q26+Q75+Q132+Q135+Q142+Q143</f>
        <v>446.97952542372877</v>
      </c>
      <c r="R25" s="47">
        <f t="shared" si="15"/>
        <v>1715.11506779661</v>
      </c>
      <c r="S25" s="47">
        <f t="shared" si="15"/>
        <v>2561.6565084745762</v>
      </c>
      <c r="T25" s="47">
        <f t="shared" si="15"/>
        <v>15.794230508474577</v>
      </c>
      <c r="U25" s="47">
        <f t="shared" si="15"/>
        <v>4345.8601694915251</v>
      </c>
      <c r="V25" s="47">
        <f t="shared" si="15"/>
        <v>4345.8601694915251</v>
      </c>
      <c r="W25" s="47">
        <f t="shared" si="15"/>
        <v>2657.3152542372882</v>
      </c>
      <c r="X25" s="47">
        <f t="shared" si="15"/>
        <v>2657.3152542372882</v>
      </c>
      <c r="Y25" s="47">
        <f t="shared" si="15"/>
        <v>3925.7077457627115</v>
      </c>
      <c r="Z25" s="47">
        <f t="shared" si="15"/>
        <v>3925.7077457627115</v>
      </c>
      <c r="AA25" s="47">
        <f t="shared" si="15"/>
        <v>0</v>
      </c>
      <c r="AB25" s="47">
        <f t="shared" si="15"/>
        <v>0</v>
      </c>
      <c r="AC25" s="47">
        <f t="shared" si="15"/>
        <v>3060.703389830509</v>
      </c>
      <c r="AD25" s="47">
        <f t="shared" si="15"/>
        <v>215.81949152542373</v>
      </c>
      <c r="AE25" s="47">
        <f t="shared" si="15"/>
        <v>1688.5449152542374</v>
      </c>
      <c r="AF25" s="47">
        <f t="shared" si="15"/>
        <v>188.10117941050848</v>
      </c>
      <c r="AG25" s="47">
        <f t="shared" si="15"/>
        <v>2127.2483050847459</v>
      </c>
      <c r="AH25" s="47">
        <f t="shared" si="15"/>
        <v>2671.3645254237285</v>
      </c>
      <c r="AI25" s="47">
        <f t="shared" si="15"/>
        <v>530.06694915254241</v>
      </c>
      <c r="AJ25" s="47">
        <f t="shared" si="15"/>
        <v>1244.1237288135596</v>
      </c>
      <c r="AK25" s="47">
        <f t="shared" si="15"/>
        <v>2990.8799929698307</v>
      </c>
      <c r="AL25" s="47">
        <f t="shared" si="15"/>
        <v>4314.1801116138995</v>
      </c>
      <c r="AM25" s="40"/>
    </row>
    <row r="26" spans="1:39" x14ac:dyDescent="0.25">
      <c r="A26" s="5" t="s">
        <v>23</v>
      </c>
      <c r="B26" s="6" t="s">
        <v>24</v>
      </c>
      <c r="C26" s="11" t="s">
        <v>10</v>
      </c>
      <c r="D26" s="11"/>
      <c r="E26" s="11"/>
      <c r="F26" s="11"/>
      <c r="G26" s="11"/>
      <c r="H26" s="2">
        <f t="shared" ref="H26:O26" si="16">H27+H31+H34+H35</f>
        <v>4132.6500000000005</v>
      </c>
      <c r="I26" s="2">
        <f t="shared" si="16"/>
        <v>4552.5928305084744</v>
      </c>
      <c r="J26" s="2">
        <f t="shared" si="16"/>
        <v>291.00593220338988</v>
      </c>
      <c r="K26" s="2">
        <f t="shared" si="16"/>
        <v>4132.6492542372871</v>
      </c>
      <c r="L26" s="2">
        <f t="shared" si="16"/>
        <v>35.149000000000001</v>
      </c>
      <c r="M26" s="2">
        <f t="shared" si="16"/>
        <v>1677.747254237288</v>
      </c>
      <c r="N26" s="2">
        <f t="shared" si="16"/>
        <v>2410.8890000000001</v>
      </c>
      <c r="O26" s="2">
        <f t="shared" si="16"/>
        <v>8.8640000000000025</v>
      </c>
      <c r="P26" s="2">
        <f>P27+P31+P34+P35</f>
        <v>4492.1174745762728</v>
      </c>
      <c r="Q26" s="2">
        <f t="shared" ref="Q26:AL26" si="17">Q27+Q31+Q34+Q35</f>
        <v>446.97952542372877</v>
      </c>
      <c r="R26" s="2">
        <f t="shared" si="17"/>
        <v>1574.6369491525422</v>
      </c>
      <c r="S26" s="2">
        <f t="shared" si="17"/>
        <v>2470.1190000000001</v>
      </c>
      <c r="T26" s="2">
        <f t="shared" si="17"/>
        <v>0.38200000000000001</v>
      </c>
      <c r="U26" s="2">
        <f t="shared" si="17"/>
        <v>3981.921186440677</v>
      </c>
      <c r="V26" s="2">
        <f t="shared" si="17"/>
        <v>3981.921186440677</v>
      </c>
      <c r="W26" s="2">
        <f t="shared" si="17"/>
        <v>2315.2949152542374</v>
      </c>
      <c r="X26" s="2">
        <f t="shared" si="17"/>
        <v>2315.2949152542374</v>
      </c>
      <c r="Y26" s="2">
        <f t="shared" si="17"/>
        <v>3875.261813559322</v>
      </c>
      <c r="Z26" s="2">
        <f t="shared" si="17"/>
        <v>3875.261813559322</v>
      </c>
      <c r="AA26" s="2">
        <f t="shared" si="17"/>
        <v>0</v>
      </c>
      <c r="AB26" s="2">
        <f t="shared" si="17"/>
        <v>0</v>
      </c>
      <c r="AC26" s="2">
        <f t="shared" si="17"/>
        <v>2997.3483050847462</v>
      </c>
      <c r="AD26" s="2">
        <f t="shared" si="17"/>
        <v>170.98559322033898</v>
      </c>
      <c r="AE26" s="2">
        <f t="shared" si="17"/>
        <v>1666.6262711864408</v>
      </c>
      <c r="AF26" s="2">
        <f t="shared" si="17"/>
        <v>172.16068788983051</v>
      </c>
      <c r="AG26" s="2">
        <f t="shared" si="17"/>
        <v>2044.6355932203392</v>
      </c>
      <c r="AH26" s="2">
        <f t="shared" si="17"/>
        <v>2648.5219830508472</v>
      </c>
      <c r="AI26" s="2">
        <f t="shared" si="17"/>
        <v>270.65932203389832</v>
      </c>
      <c r="AJ26" s="2">
        <f t="shared" si="17"/>
        <v>1226.7398305084748</v>
      </c>
      <c r="AK26" s="2">
        <f t="shared" si="17"/>
        <v>2658.441196364407</v>
      </c>
      <c r="AL26" s="2">
        <f t="shared" si="17"/>
        <v>4218.408094669493</v>
      </c>
      <c r="AM26" s="40"/>
    </row>
    <row r="27" spans="1:39" ht="30" x14ac:dyDescent="0.25">
      <c r="A27" s="5" t="s">
        <v>25</v>
      </c>
      <c r="B27" s="6" t="s">
        <v>26</v>
      </c>
      <c r="C27" s="11" t="s">
        <v>10</v>
      </c>
      <c r="D27" s="11"/>
      <c r="E27" s="11"/>
      <c r="F27" s="11"/>
      <c r="G27" s="11"/>
      <c r="H27" s="2">
        <v>0</v>
      </c>
      <c r="I27" s="2">
        <v>0</v>
      </c>
      <c r="J27" s="2">
        <v>0</v>
      </c>
      <c r="K27" s="2">
        <v>0</v>
      </c>
      <c r="L27" s="2">
        <v>0</v>
      </c>
      <c r="M27" s="2">
        <v>0</v>
      </c>
      <c r="N27" s="2">
        <v>0</v>
      </c>
      <c r="O27" s="2">
        <v>0</v>
      </c>
      <c r="P27" s="2">
        <v>0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2">
        <v>0</v>
      </c>
      <c r="AH27" s="2">
        <v>0</v>
      </c>
      <c r="AI27" s="2">
        <v>0</v>
      </c>
      <c r="AJ27" s="2">
        <v>0</v>
      </c>
      <c r="AK27" s="2">
        <v>0</v>
      </c>
      <c r="AL27" s="2">
        <v>0</v>
      </c>
      <c r="AM27" s="40"/>
    </row>
    <row r="28" spans="1:39" ht="45" x14ac:dyDescent="0.25">
      <c r="A28" s="17" t="s">
        <v>27</v>
      </c>
      <c r="B28" s="18" t="s">
        <v>28</v>
      </c>
      <c r="C28" s="56" t="s">
        <v>10</v>
      </c>
      <c r="D28" s="53"/>
      <c r="E28" s="53"/>
      <c r="F28" s="53"/>
      <c r="G28" s="53"/>
      <c r="H28" s="3"/>
      <c r="I28" s="3"/>
      <c r="J28" s="10"/>
      <c r="K28" s="3"/>
      <c r="L28" s="10"/>
      <c r="M28" s="10"/>
      <c r="N28" s="10"/>
      <c r="O28" s="10"/>
      <c r="P28" s="3"/>
      <c r="Q28" s="10"/>
      <c r="R28" s="10"/>
      <c r="S28" s="10"/>
      <c r="T28" s="10"/>
      <c r="U28" s="10"/>
      <c r="V28" s="10"/>
      <c r="W28" s="10"/>
      <c r="X28" s="10"/>
      <c r="Y28" s="10"/>
      <c r="Z28" s="3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3"/>
      <c r="AL28" s="3"/>
      <c r="AM28" s="10"/>
    </row>
    <row r="29" spans="1:39" ht="45" x14ac:dyDescent="0.25">
      <c r="A29" s="17" t="s">
        <v>29</v>
      </c>
      <c r="B29" s="18" t="s">
        <v>30</v>
      </c>
      <c r="C29" s="56" t="s">
        <v>10</v>
      </c>
      <c r="D29" s="53"/>
      <c r="E29" s="53"/>
      <c r="F29" s="53"/>
      <c r="G29" s="53"/>
      <c r="H29" s="3"/>
      <c r="I29" s="3"/>
      <c r="J29" s="10"/>
      <c r="K29" s="3"/>
      <c r="L29" s="10"/>
      <c r="M29" s="10"/>
      <c r="N29" s="10"/>
      <c r="O29" s="10"/>
      <c r="P29" s="3"/>
      <c r="Q29" s="10"/>
      <c r="R29" s="10"/>
      <c r="S29" s="10"/>
      <c r="T29" s="10"/>
      <c r="U29" s="10"/>
      <c r="V29" s="10"/>
      <c r="W29" s="10"/>
      <c r="X29" s="10"/>
      <c r="Y29" s="10"/>
      <c r="Z29" s="3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3"/>
      <c r="AL29" s="3"/>
      <c r="AM29" s="10"/>
    </row>
    <row r="30" spans="1:39" ht="45" x14ac:dyDescent="0.25">
      <c r="A30" s="17" t="s">
        <v>31</v>
      </c>
      <c r="B30" s="18" t="s">
        <v>32</v>
      </c>
      <c r="C30" s="56" t="s">
        <v>10</v>
      </c>
      <c r="D30" s="53"/>
      <c r="E30" s="53"/>
      <c r="F30" s="53"/>
      <c r="G30" s="53"/>
      <c r="H30" s="3"/>
      <c r="I30" s="3"/>
      <c r="J30" s="10"/>
      <c r="K30" s="3"/>
      <c r="L30" s="10"/>
      <c r="M30" s="10"/>
      <c r="N30" s="10"/>
      <c r="O30" s="10"/>
      <c r="P30" s="3"/>
      <c r="Q30" s="10"/>
      <c r="R30" s="10"/>
      <c r="S30" s="10"/>
      <c r="T30" s="10"/>
      <c r="U30" s="10"/>
      <c r="V30" s="10"/>
      <c r="W30" s="10"/>
      <c r="X30" s="10"/>
      <c r="Y30" s="10"/>
      <c r="Z30" s="3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3"/>
      <c r="AL30" s="3"/>
      <c r="AM30" s="10"/>
    </row>
    <row r="31" spans="1:39" ht="30" x14ac:dyDescent="0.25">
      <c r="A31" s="5" t="s">
        <v>33</v>
      </c>
      <c r="B31" s="6" t="s">
        <v>34</v>
      </c>
      <c r="C31" s="11" t="s">
        <v>10</v>
      </c>
      <c r="D31" s="11"/>
      <c r="E31" s="11"/>
      <c r="F31" s="11"/>
      <c r="G31" s="11"/>
      <c r="H31" s="2">
        <v>0</v>
      </c>
      <c r="I31" s="2">
        <v>0</v>
      </c>
      <c r="J31" s="2">
        <v>0</v>
      </c>
      <c r="K31" s="2">
        <v>0</v>
      </c>
      <c r="L31" s="2">
        <v>0</v>
      </c>
      <c r="M31" s="2">
        <v>0</v>
      </c>
      <c r="N31" s="2">
        <v>0</v>
      </c>
      <c r="O31" s="2">
        <v>0</v>
      </c>
      <c r="P31" s="2">
        <v>0</v>
      </c>
      <c r="Q31" s="2">
        <v>0</v>
      </c>
      <c r="R31" s="2">
        <v>0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  <c r="Z31" s="2">
        <v>0</v>
      </c>
      <c r="AA31" s="2">
        <v>0</v>
      </c>
      <c r="AB31" s="2">
        <v>0</v>
      </c>
      <c r="AC31" s="2">
        <v>0</v>
      </c>
      <c r="AD31" s="2">
        <v>0</v>
      </c>
      <c r="AE31" s="2">
        <v>0</v>
      </c>
      <c r="AF31" s="2">
        <v>0</v>
      </c>
      <c r="AG31" s="2">
        <v>0</v>
      </c>
      <c r="AH31" s="2">
        <v>0</v>
      </c>
      <c r="AI31" s="2">
        <v>0</v>
      </c>
      <c r="AJ31" s="2">
        <v>0</v>
      </c>
      <c r="AK31" s="2">
        <v>0</v>
      </c>
      <c r="AL31" s="2">
        <v>0</v>
      </c>
      <c r="AM31" s="40"/>
    </row>
    <row r="32" spans="1:39" ht="60" x14ac:dyDescent="0.25">
      <c r="A32" s="17" t="s">
        <v>35</v>
      </c>
      <c r="B32" s="18" t="s">
        <v>36</v>
      </c>
      <c r="C32" s="16" t="s">
        <v>10</v>
      </c>
      <c r="D32" s="53"/>
      <c r="E32" s="53"/>
      <c r="F32" s="53"/>
      <c r="G32" s="53"/>
      <c r="H32" s="3"/>
      <c r="I32" s="3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3"/>
      <c r="AL32" s="3"/>
      <c r="AM32" s="10"/>
    </row>
    <row r="33" spans="1:39" ht="30" x14ac:dyDescent="0.25">
      <c r="A33" s="17" t="s">
        <v>37</v>
      </c>
      <c r="B33" s="18" t="s">
        <v>38</v>
      </c>
      <c r="C33" s="16" t="s">
        <v>10</v>
      </c>
      <c r="D33" s="53"/>
      <c r="E33" s="53"/>
      <c r="F33" s="53"/>
      <c r="G33" s="53"/>
      <c r="H33" s="3"/>
      <c r="I33" s="3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3"/>
      <c r="AL33" s="3"/>
      <c r="AM33" s="10"/>
    </row>
    <row r="34" spans="1:39" ht="45" x14ac:dyDescent="0.25">
      <c r="A34" s="5" t="s">
        <v>39</v>
      </c>
      <c r="B34" s="6" t="s">
        <v>40</v>
      </c>
      <c r="C34" s="11" t="s">
        <v>10</v>
      </c>
      <c r="D34" s="11"/>
      <c r="E34" s="11"/>
      <c r="F34" s="11"/>
      <c r="G34" s="11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40"/>
    </row>
    <row r="35" spans="1:39" ht="60" x14ac:dyDescent="0.25">
      <c r="A35" s="5" t="s">
        <v>41</v>
      </c>
      <c r="B35" s="6" t="s">
        <v>42</v>
      </c>
      <c r="C35" s="11" t="s">
        <v>10</v>
      </c>
      <c r="D35" s="11"/>
      <c r="E35" s="11"/>
      <c r="F35" s="11"/>
      <c r="G35" s="11"/>
      <c r="H35" s="2">
        <v>4132.6500000000005</v>
      </c>
      <c r="I35" s="2">
        <v>4552.5928305084744</v>
      </c>
      <c r="J35" s="2">
        <v>291.00593220338988</v>
      </c>
      <c r="K35" s="2">
        <v>4132.6492542372871</v>
      </c>
      <c r="L35" s="2">
        <v>35.149000000000001</v>
      </c>
      <c r="M35" s="2">
        <v>1677.747254237288</v>
      </c>
      <c r="N35" s="2">
        <v>2410.8890000000001</v>
      </c>
      <c r="O35" s="2">
        <v>8.8640000000000025</v>
      </c>
      <c r="P35" s="2">
        <f>P36+P62</f>
        <v>4492.1174745762728</v>
      </c>
      <c r="Q35" s="2">
        <f t="shared" ref="Q35:AL35" si="18">Q36+Q62</f>
        <v>446.97952542372877</v>
      </c>
      <c r="R35" s="2">
        <f t="shared" si="18"/>
        <v>1574.6369491525422</v>
      </c>
      <c r="S35" s="2">
        <f t="shared" si="18"/>
        <v>2470.1190000000001</v>
      </c>
      <c r="T35" s="2">
        <f t="shared" si="18"/>
        <v>0.38200000000000001</v>
      </c>
      <c r="U35" s="2">
        <f t="shared" si="18"/>
        <v>3981.921186440677</v>
      </c>
      <c r="V35" s="2">
        <f t="shared" si="18"/>
        <v>3981.921186440677</v>
      </c>
      <c r="W35" s="2">
        <f t="shared" si="18"/>
        <v>2315.2949152542374</v>
      </c>
      <c r="X35" s="2">
        <f t="shared" si="18"/>
        <v>2315.2949152542374</v>
      </c>
      <c r="Y35" s="2">
        <f t="shared" si="18"/>
        <v>3875.261813559322</v>
      </c>
      <c r="Z35" s="2">
        <f t="shared" si="18"/>
        <v>3875.261813559322</v>
      </c>
      <c r="AA35" s="2">
        <f t="shared" si="18"/>
        <v>0</v>
      </c>
      <c r="AB35" s="2">
        <f t="shared" si="18"/>
        <v>0</v>
      </c>
      <c r="AC35" s="2">
        <f t="shared" si="18"/>
        <v>2997.3483050847462</v>
      </c>
      <c r="AD35" s="2">
        <f t="shared" si="18"/>
        <v>170.98559322033898</v>
      </c>
      <c r="AE35" s="2">
        <f t="shared" si="18"/>
        <v>1666.6262711864408</v>
      </c>
      <c r="AF35" s="2">
        <f t="shared" si="18"/>
        <v>172.16068788983051</v>
      </c>
      <c r="AG35" s="2">
        <f t="shared" si="18"/>
        <v>2044.6355932203392</v>
      </c>
      <c r="AH35" s="2">
        <f t="shared" si="18"/>
        <v>2648.5219830508472</v>
      </c>
      <c r="AI35" s="2">
        <f t="shared" si="18"/>
        <v>270.65932203389832</v>
      </c>
      <c r="AJ35" s="2">
        <f t="shared" si="18"/>
        <v>1226.7398305084748</v>
      </c>
      <c r="AK35" s="2">
        <f t="shared" si="18"/>
        <v>2658.441196364407</v>
      </c>
      <c r="AL35" s="2">
        <f t="shared" si="18"/>
        <v>4218.408094669493</v>
      </c>
      <c r="AM35" s="40"/>
    </row>
    <row r="36" spans="1:39" ht="60" x14ac:dyDescent="0.25">
      <c r="A36" s="5" t="s">
        <v>43</v>
      </c>
      <c r="B36" s="6" t="s">
        <v>44</v>
      </c>
      <c r="C36" s="11" t="s">
        <v>10</v>
      </c>
      <c r="D36" s="11"/>
      <c r="E36" s="11"/>
      <c r="F36" s="11"/>
      <c r="G36" s="11"/>
      <c r="H36" s="2">
        <v>3804.9118644067798</v>
      </c>
      <c r="I36" s="2">
        <v>4237.3665593220339</v>
      </c>
      <c r="J36" s="2">
        <v>290.60169491525426</v>
      </c>
      <c r="K36" s="2">
        <v>3804.9102542372875</v>
      </c>
      <c r="L36" s="2">
        <v>14.11</v>
      </c>
      <c r="M36" s="2">
        <v>1486.2202542372879</v>
      </c>
      <c r="N36" s="2">
        <v>2295.7160000000003</v>
      </c>
      <c r="O36" s="2">
        <v>8.8640000000000025</v>
      </c>
      <c r="P36" s="2">
        <f>SUM(P37:P61)</f>
        <v>4176.8924745762724</v>
      </c>
      <c r="Q36" s="2">
        <f t="shared" ref="Q36:AL36" si="19">SUM(Q37:Q61)</f>
        <v>429.82552542372878</v>
      </c>
      <c r="R36" s="2">
        <f t="shared" si="19"/>
        <v>1388.5689491525422</v>
      </c>
      <c r="S36" s="2">
        <f t="shared" si="19"/>
        <v>2358.116</v>
      </c>
      <c r="T36" s="2">
        <f t="shared" si="19"/>
        <v>0.38200000000000001</v>
      </c>
      <c r="U36" s="2">
        <f t="shared" si="19"/>
        <v>3654.7771186440668</v>
      </c>
      <c r="V36" s="2">
        <f t="shared" si="19"/>
        <v>3654.7771186440668</v>
      </c>
      <c r="W36" s="2">
        <f t="shared" si="19"/>
        <v>2049.4347457627118</v>
      </c>
      <c r="X36" s="2">
        <f t="shared" si="19"/>
        <v>2049.4347457627118</v>
      </c>
      <c r="Y36" s="2">
        <f t="shared" si="19"/>
        <v>3566.9931694915254</v>
      </c>
      <c r="Z36" s="2">
        <f t="shared" si="19"/>
        <v>3566.9931694915254</v>
      </c>
      <c r="AA36" s="2">
        <f t="shared" si="19"/>
        <v>0</v>
      </c>
      <c r="AB36" s="2">
        <f t="shared" si="19"/>
        <v>0</v>
      </c>
      <c r="AC36" s="2">
        <f t="shared" si="19"/>
        <v>2938.6076271186444</v>
      </c>
      <c r="AD36" s="2">
        <f t="shared" si="19"/>
        <v>170.0050847457627</v>
      </c>
      <c r="AE36" s="2">
        <f t="shared" si="19"/>
        <v>1605.3423728813561</v>
      </c>
      <c r="AF36" s="2">
        <f t="shared" si="19"/>
        <v>166.58063050847457</v>
      </c>
      <c r="AG36" s="2">
        <f t="shared" si="19"/>
        <v>1986.3872881355933</v>
      </c>
      <c r="AH36" s="2">
        <f t="shared" si="19"/>
        <v>2605.7965593220338</v>
      </c>
      <c r="AI36" s="2">
        <f t="shared" si="19"/>
        <v>63.047457627118646</v>
      </c>
      <c r="AJ36" s="2">
        <f t="shared" si="19"/>
        <v>961.19661016949169</v>
      </c>
      <c r="AK36" s="2">
        <f t="shared" si="19"/>
        <v>2386.0204610169494</v>
      </c>
      <c r="AL36" s="2">
        <f t="shared" si="19"/>
        <v>3903.5788847457638</v>
      </c>
      <c r="AM36" s="40"/>
    </row>
    <row r="37" spans="1:39" ht="225" x14ac:dyDescent="0.25">
      <c r="A37" s="17" t="s">
        <v>43</v>
      </c>
      <c r="B37" s="44" t="s">
        <v>45</v>
      </c>
      <c r="C37" s="45" t="s">
        <v>46</v>
      </c>
      <c r="D37" s="45" t="s">
        <v>284</v>
      </c>
      <c r="E37" s="45">
        <v>2014</v>
      </c>
      <c r="F37" s="45">
        <v>2018</v>
      </c>
      <c r="G37" s="53">
        <v>2018</v>
      </c>
      <c r="H37" s="14">
        <v>670.87542372881364</v>
      </c>
      <c r="I37" s="52">
        <v>787.31644067796617</v>
      </c>
      <c r="J37" s="14">
        <v>156.81525423728814</v>
      </c>
      <c r="K37" s="51">
        <v>670.875</v>
      </c>
      <c r="L37" s="41">
        <v>0</v>
      </c>
      <c r="M37" s="41">
        <v>199.68100000000001</v>
      </c>
      <c r="N37" s="41">
        <v>469.61</v>
      </c>
      <c r="O37" s="41">
        <v>1.5840000000000001</v>
      </c>
      <c r="P37" s="51">
        <f>Q37+R37+S37+T37</f>
        <v>787.31600000000003</v>
      </c>
      <c r="Q37" s="51">
        <v>62.301000000000002</v>
      </c>
      <c r="R37" s="51">
        <v>270.46000000000004</v>
      </c>
      <c r="S37" s="51">
        <v>454.55500000000001</v>
      </c>
      <c r="T37" s="41">
        <v>0</v>
      </c>
      <c r="U37" s="10">
        <v>669.29067796610161</v>
      </c>
      <c r="V37" s="10">
        <v>669.29067796610161</v>
      </c>
      <c r="W37" s="10">
        <v>412.10508474576272</v>
      </c>
      <c r="X37" s="10">
        <v>412.10508474576272</v>
      </c>
      <c r="Y37" s="41">
        <v>627.26101694915258</v>
      </c>
      <c r="Z37" s="3">
        <v>627.26101694915258</v>
      </c>
      <c r="AA37" s="10"/>
      <c r="AB37" s="39"/>
      <c r="AC37" s="10">
        <v>627.26101694915258</v>
      </c>
      <c r="AD37" s="10">
        <f>1.871/1.18</f>
        <v>1.5855932203389831</v>
      </c>
      <c r="AE37" s="10">
        <v>257.185593220339</v>
      </c>
      <c r="AF37" s="39">
        <f>1.953255/1.18</f>
        <v>1.6553008474576272</v>
      </c>
      <c r="AG37" s="10">
        <v>412.10508474576272</v>
      </c>
      <c r="AH37" s="39">
        <v>423.72881355932208</v>
      </c>
      <c r="AI37" s="10">
        <v>0</v>
      </c>
      <c r="AJ37" s="10">
        <v>203.53220338983053</v>
      </c>
      <c r="AK37" s="3">
        <f>AD37+AF37+AG37+AI37</f>
        <v>415.34597881355933</v>
      </c>
      <c r="AL37" s="3">
        <f>AD37+AF37+AH37+AJ37</f>
        <v>630.50191101694918</v>
      </c>
      <c r="AM37" s="12" t="s">
        <v>338</v>
      </c>
    </row>
    <row r="38" spans="1:39" ht="225" x14ac:dyDescent="0.25">
      <c r="A38" s="17" t="s">
        <v>43</v>
      </c>
      <c r="B38" s="44" t="s">
        <v>47</v>
      </c>
      <c r="C38" s="45" t="s">
        <v>48</v>
      </c>
      <c r="D38" s="45" t="s">
        <v>284</v>
      </c>
      <c r="E38" s="45">
        <v>2015</v>
      </c>
      <c r="F38" s="45">
        <v>2018</v>
      </c>
      <c r="G38" s="53">
        <v>2018</v>
      </c>
      <c r="H38" s="14">
        <v>363.2279661016949</v>
      </c>
      <c r="I38" s="52">
        <v>733.35796610169507</v>
      </c>
      <c r="J38" s="14">
        <v>7.2194915254237291</v>
      </c>
      <c r="K38" s="51">
        <v>363.22799999999995</v>
      </c>
      <c r="L38" s="41">
        <v>0</v>
      </c>
      <c r="M38" s="41">
        <v>227.958</v>
      </c>
      <c r="N38" s="41">
        <v>133.76400000000001</v>
      </c>
      <c r="O38" s="41">
        <v>1.506</v>
      </c>
      <c r="P38" s="51">
        <f t="shared" ref="P38:P50" si="20">Q38+R38+S38+T38</f>
        <v>734.12700000000007</v>
      </c>
      <c r="Q38" s="51">
        <v>85.382000000000005</v>
      </c>
      <c r="R38" s="51">
        <v>279.83000000000004</v>
      </c>
      <c r="S38" s="51">
        <v>368.91500000000002</v>
      </c>
      <c r="T38" s="41">
        <v>0</v>
      </c>
      <c r="U38" s="10">
        <v>361.72203389830509</v>
      </c>
      <c r="V38" s="10">
        <v>361.72203389830509</v>
      </c>
      <c r="W38" s="10">
        <v>204.94237288135594</v>
      </c>
      <c r="X38" s="10">
        <v>204.94237288135594</v>
      </c>
      <c r="Y38" s="41">
        <v>723.41610169491537</v>
      </c>
      <c r="Z38" s="3">
        <v>723.41610169491537</v>
      </c>
      <c r="AA38" s="10"/>
      <c r="AB38" s="10"/>
      <c r="AC38" s="10">
        <v>746.80593220338983</v>
      </c>
      <c r="AD38" s="10">
        <f>1.778/1.18</f>
        <v>1.5067796610169493</v>
      </c>
      <c r="AE38" s="10">
        <v>156.77966101694915</v>
      </c>
      <c r="AF38" s="39">
        <f>1.435766/1.18</f>
        <v>1.2167508474576272</v>
      </c>
      <c r="AG38" s="10">
        <v>204.94237288135594</v>
      </c>
      <c r="AH38" s="39">
        <v>546.30762711864418</v>
      </c>
      <c r="AI38" s="10">
        <v>0</v>
      </c>
      <c r="AJ38" s="10">
        <v>177.10847457627119</v>
      </c>
      <c r="AK38" s="3">
        <f t="shared" ref="AK38:AK74" si="21">AD38+AF38+AG38+AI38</f>
        <v>207.6659033898305</v>
      </c>
      <c r="AL38" s="3">
        <f t="shared" ref="AL38:AL74" si="22">AD38+AF38+AH38+AJ38</f>
        <v>726.13963220338997</v>
      </c>
      <c r="AM38" s="12" t="s">
        <v>338</v>
      </c>
    </row>
    <row r="39" spans="1:39" ht="240" x14ac:dyDescent="0.25">
      <c r="A39" s="17" t="s">
        <v>43</v>
      </c>
      <c r="B39" s="44" t="s">
        <v>248</v>
      </c>
      <c r="C39" s="45" t="s">
        <v>49</v>
      </c>
      <c r="D39" s="45" t="s">
        <v>284</v>
      </c>
      <c r="E39" s="45">
        <v>2015</v>
      </c>
      <c r="F39" s="45">
        <v>2018</v>
      </c>
      <c r="G39" s="53">
        <v>2018</v>
      </c>
      <c r="H39" s="14">
        <v>1378.3000000000002</v>
      </c>
      <c r="I39" s="52">
        <v>1187.7593220338981</v>
      </c>
      <c r="J39" s="14">
        <v>11.694915254237289</v>
      </c>
      <c r="K39" s="51">
        <v>1378.3</v>
      </c>
      <c r="L39" s="41">
        <v>0</v>
      </c>
      <c r="M39" s="41">
        <v>506.70600000000002</v>
      </c>
      <c r="N39" s="41">
        <v>869.19500000000005</v>
      </c>
      <c r="O39" s="41">
        <v>2.399</v>
      </c>
      <c r="P39" s="51">
        <f t="shared" si="20"/>
        <v>1187.758</v>
      </c>
      <c r="Q39" s="51">
        <v>96.472999999999999</v>
      </c>
      <c r="R39" s="51">
        <v>335.58100000000002</v>
      </c>
      <c r="S39" s="51">
        <v>755.70399999999995</v>
      </c>
      <c r="T39" s="51">
        <v>0</v>
      </c>
      <c r="U39" s="10">
        <v>1375.9008474576272</v>
      </c>
      <c r="V39" s="10">
        <v>1375.9008474576272</v>
      </c>
      <c r="W39" s="10">
        <v>1032.4584745762711</v>
      </c>
      <c r="X39" s="10">
        <v>1032.4584745762711</v>
      </c>
      <c r="Y39" s="41">
        <v>1086.7889830508475</v>
      </c>
      <c r="Z39" s="3">
        <v>1086.7889830508475</v>
      </c>
      <c r="AA39" s="10"/>
      <c r="AB39" s="10"/>
      <c r="AC39" s="10">
        <v>1212.3762711864408</v>
      </c>
      <c r="AD39" s="10">
        <f>2.831/1.18</f>
        <v>2.3991525423728817</v>
      </c>
      <c r="AE39" s="10">
        <v>343.44237288135594</v>
      </c>
      <c r="AF39" s="39">
        <f>102.516763/1.18</f>
        <v>86.878612711864406</v>
      </c>
      <c r="AG39" s="10">
        <v>1032.4584745762711</v>
      </c>
      <c r="AH39" s="39">
        <v>978.11016949152554</v>
      </c>
      <c r="AI39" s="10">
        <v>0</v>
      </c>
      <c r="AJ39" s="10">
        <v>108.67881355932205</v>
      </c>
      <c r="AK39" s="3">
        <f t="shared" si="21"/>
        <v>1121.7362398305083</v>
      </c>
      <c r="AL39" s="3">
        <f t="shared" si="22"/>
        <v>1176.0667483050847</v>
      </c>
      <c r="AM39" s="12" t="s">
        <v>339</v>
      </c>
    </row>
    <row r="40" spans="1:39" ht="225" x14ac:dyDescent="0.25">
      <c r="A40" s="17" t="s">
        <v>43</v>
      </c>
      <c r="B40" s="44" t="s">
        <v>50</v>
      </c>
      <c r="C40" s="45" t="s">
        <v>51</v>
      </c>
      <c r="D40" s="45" t="s">
        <v>284</v>
      </c>
      <c r="E40" s="45">
        <v>2015</v>
      </c>
      <c r="F40" s="45">
        <v>2018</v>
      </c>
      <c r="G40" s="53">
        <v>2018</v>
      </c>
      <c r="H40" s="14">
        <v>1004.1601694915256</v>
      </c>
      <c r="I40" s="52">
        <v>1043.8491525423728</v>
      </c>
      <c r="J40" s="14">
        <v>11.548305084745763</v>
      </c>
      <c r="K40" s="51">
        <v>1004.16</v>
      </c>
      <c r="L40" s="41">
        <v>0</v>
      </c>
      <c r="M40" s="41">
        <v>320.18099999999998</v>
      </c>
      <c r="N40" s="41">
        <v>681.87800000000004</v>
      </c>
      <c r="O40" s="41">
        <v>2.101</v>
      </c>
      <c r="P40" s="51">
        <f t="shared" si="20"/>
        <v>1043.848</v>
      </c>
      <c r="Q40" s="51">
        <v>76.921000000000006</v>
      </c>
      <c r="R40" s="51">
        <v>326.78000000000003</v>
      </c>
      <c r="S40" s="51">
        <v>640.14700000000005</v>
      </c>
      <c r="T40" s="41">
        <v>0</v>
      </c>
      <c r="U40" s="10">
        <v>1002.0584745762714</v>
      </c>
      <c r="V40" s="10">
        <v>1002.0584745762714</v>
      </c>
      <c r="W40" s="10">
        <v>336.88135593220341</v>
      </c>
      <c r="X40" s="10">
        <v>336.88135593220341</v>
      </c>
      <c r="Y40" s="41">
        <v>1028.5177966101696</v>
      </c>
      <c r="Z40" s="3">
        <v>1028.5177966101696</v>
      </c>
      <c r="AA40" s="10"/>
      <c r="AB40" s="10"/>
      <c r="AC40" s="10">
        <v>350.69152542372882</v>
      </c>
      <c r="AD40" s="10">
        <f>2.48/1.18</f>
        <v>2.1016949152542375</v>
      </c>
      <c r="AE40" s="10">
        <v>665.17711864406783</v>
      </c>
      <c r="AF40" s="39">
        <f>1.986246/1.18</f>
        <v>1.6832593220338983</v>
      </c>
      <c r="AG40" s="10">
        <v>336.88135593220341</v>
      </c>
      <c r="AH40" s="39">
        <v>556.64067796610175</v>
      </c>
      <c r="AI40" s="10">
        <v>0</v>
      </c>
      <c r="AJ40" s="10">
        <v>471.87711864406788</v>
      </c>
      <c r="AK40" s="3">
        <f t="shared" si="21"/>
        <v>340.66631016949157</v>
      </c>
      <c r="AL40" s="3">
        <f t="shared" si="22"/>
        <v>1032.3027508474579</v>
      </c>
      <c r="AM40" s="12" t="s">
        <v>338</v>
      </c>
    </row>
    <row r="41" spans="1:39" ht="225" x14ac:dyDescent="0.25">
      <c r="A41" s="17" t="s">
        <v>43</v>
      </c>
      <c r="B41" s="44" t="s">
        <v>52</v>
      </c>
      <c r="C41" s="45" t="s">
        <v>53</v>
      </c>
      <c r="D41" s="45" t="s">
        <v>284</v>
      </c>
      <c r="E41" s="45">
        <v>2013</v>
      </c>
      <c r="F41" s="45">
        <v>2017</v>
      </c>
      <c r="G41" s="53">
        <v>2018</v>
      </c>
      <c r="H41" s="14">
        <v>45.388135593220341</v>
      </c>
      <c r="I41" s="52">
        <v>71.073813559322033</v>
      </c>
      <c r="J41" s="14">
        <v>28.223728813559326</v>
      </c>
      <c r="K41" s="51">
        <v>45.387999999999998</v>
      </c>
      <c r="L41" s="51">
        <v>0</v>
      </c>
      <c r="M41" s="51">
        <v>45.103000000000002</v>
      </c>
      <c r="N41" s="51">
        <v>0</v>
      </c>
      <c r="O41" s="41">
        <v>0.28499999999999998</v>
      </c>
      <c r="P41" s="51">
        <f t="shared" si="20"/>
        <v>71.073999999999998</v>
      </c>
      <c r="Q41" s="51">
        <v>28.224</v>
      </c>
      <c r="R41" s="51">
        <v>42.85</v>
      </c>
      <c r="S41" s="51">
        <v>0</v>
      </c>
      <c r="T41" s="41">
        <v>0</v>
      </c>
      <c r="U41" s="10">
        <v>45.102542372881352</v>
      </c>
      <c r="V41" s="10">
        <v>45.102542372881352</v>
      </c>
      <c r="W41" s="10">
        <v>0</v>
      </c>
      <c r="X41" s="10">
        <v>0</v>
      </c>
      <c r="Y41" s="41">
        <v>42.335677966101699</v>
      </c>
      <c r="Z41" s="3">
        <v>42.335677966101699</v>
      </c>
      <c r="AA41" s="10"/>
      <c r="AB41" s="39"/>
      <c r="AC41" s="10">
        <v>0</v>
      </c>
      <c r="AD41" s="10">
        <f>0.337/1.18</f>
        <v>0.2855932203389831</v>
      </c>
      <c r="AE41" s="10">
        <v>45.102542372881352</v>
      </c>
      <c r="AF41" s="39">
        <f>0.269947/1.18</f>
        <v>0.22876864406779662</v>
      </c>
      <c r="AG41" s="10">
        <v>0</v>
      </c>
      <c r="AH41" s="39">
        <v>42.335677966101699</v>
      </c>
      <c r="AI41" s="10">
        <v>0</v>
      </c>
      <c r="AJ41" s="10">
        <v>0</v>
      </c>
      <c r="AK41" s="3">
        <f t="shared" si="21"/>
        <v>0.51436186440677978</v>
      </c>
      <c r="AL41" s="3">
        <f t="shared" si="22"/>
        <v>42.850039830508479</v>
      </c>
      <c r="AM41" s="12" t="s">
        <v>338</v>
      </c>
    </row>
    <row r="42" spans="1:39" ht="225" x14ac:dyDescent="0.25">
      <c r="A42" s="17" t="s">
        <v>43</v>
      </c>
      <c r="B42" s="44" t="s">
        <v>249</v>
      </c>
      <c r="C42" s="45" t="s">
        <v>54</v>
      </c>
      <c r="D42" s="45" t="s">
        <v>284</v>
      </c>
      <c r="E42" s="45">
        <v>2014</v>
      </c>
      <c r="F42" s="45">
        <v>2017</v>
      </c>
      <c r="G42" s="53">
        <v>2018</v>
      </c>
      <c r="H42" s="14">
        <v>166.90338983050847</v>
      </c>
      <c r="I42" s="52">
        <v>203.84745762711864</v>
      </c>
      <c r="J42" s="14">
        <v>40.518644067796608</v>
      </c>
      <c r="K42" s="51">
        <v>166.90300000000002</v>
      </c>
      <c r="L42" s="51">
        <v>0</v>
      </c>
      <c r="M42" s="51">
        <v>25.634</v>
      </c>
      <c r="N42" s="51">
        <v>141.26900000000001</v>
      </c>
      <c r="O42" s="41">
        <v>0</v>
      </c>
      <c r="P42" s="51">
        <f t="shared" si="20"/>
        <v>203.84699999999998</v>
      </c>
      <c r="Q42" s="51">
        <v>40.518000000000001</v>
      </c>
      <c r="R42" s="51">
        <v>24.533999999999999</v>
      </c>
      <c r="S42" s="51">
        <v>138.79499999999999</v>
      </c>
      <c r="T42" s="41">
        <v>0</v>
      </c>
      <c r="U42" s="10">
        <v>25.633898305084749</v>
      </c>
      <c r="V42" s="10">
        <v>25.633898305084749</v>
      </c>
      <c r="W42" s="10">
        <v>0</v>
      </c>
      <c r="X42" s="10">
        <v>0</v>
      </c>
      <c r="Y42" s="41">
        <v>21.632203389830508</v>
      </c>
      <c r="Z42" s="3">
        <v>21.632203389830508</v>
      </c>
      <c r="AA42" s="10"/>
      <c r="AB42" s="39"/>
      <c r="AC42" s="10">
        <v>0</v>
      </c>
      <c r="AD42" s="10">
        <f>166.698/1.18</f>
        <v>141.26949152542375</v>
      </c>
      <c r="AE42" s="10">
        <v>25.633898305084749</v>
      </c>
      <c r="AF42" s="39">
        <f>0.513428/1.18</f>
        <v>0.43510847457627122</v>
      </c>
      <c r="AG42" s="10">
        <v>0</v>
      </c>
      <c r="AH42" s="39">
        <v>21.632203389830508</v>
      </c>
      <c r="AI42" s="10">
        <v>0</v>
      </c>
      <c r="AJ42" s="10">
        <v>0</v>
      </c>
      <c r="AK42" s="3">
        <f t="shared" si="21"/>
        <v>141.70460000000003</v>
      </c>
      <c r="AL42" s="3">
        <f t="shared" si="22"/>
        <v>163.33680338983055</v>
      </c>
      <c r="AM42" s="12" t="s">
        <v>338</v>
      </c>
    </row>
    <row r="43" spans="1:39" ht="225" x14ac:dyDescent="0.25">
      <c r="A43" s="17" t="s">
        <v>43</v>
      </c>
      <c r="B43" s="44" t="s">
        <v>55</v>
      </c>
      <c r="C43" s="45" t="s">
        <v>56</v>
      </c>
      <c r="D43" s="45" t="s">
        <v>284</v>
      </c>
      <c r="E43" s="45">
        <v>2013</v>
      </c>
      <c r="F43" s="45">
        <v>2017</v>
      </c>
      <c r="G43" s="53">
        <v>2018</v>
      </c>
      <c r="H43" s="14">
        <v>21.650000000000002</v>
      </c>
      <c r="I43" s="52">
        <v>58.317211864406772</v>
      </c>
      <c r="J43" s="14">
        <v>34.581355932203387</v>
      </c>
      <c r="K43" s="51">
        <v>21.650000000000002</v>
      </c>
      <c r="L43" s="51">
        <v>0</v>
      </c>
      <c r="M43" s="51">
        <v>21.1</v>
      </c>
      <c r="N43" s="51">
        <v>0</v>
      </c>
      <c r="O43" s="41">
        <v>0.55000000000000004</v>
      </c>
      <c r="P43" s="51">
        <f t="shared" si="20"/>
        <v>58.317000000000007</v>
      </c>
      <c r="Q43" s="51">
        <v>34.581000000000003</v>
      </c>
      <c r="R43" s="51">
        <v>23.736000000000001</v>
      </c>
      <c r="S43" s="51">
        <v>0</v>
      </c>
      <c r="T43" s="41">
        <v>0</v>
      </c>
      <c r="U43" s="10">
        <v>21.1</v>
      </c>
      <c r="V43" s="10">
        <v>21.1</v>
      </c>
      <c r="W43" s="10">
        <v>0</v>
      </c>
      <c r="X43" s="10">
        <v>0</v>
      </c>
      <c r="Y43" s="41">
        <v>13.93212711864407</v>
      </c>
      <c r="Z43" s="3">
        <v>13.93212711864407</v>
      </c>
      <c r="AA43" s="10"/>
      <c r="AB43" s="39"/>
      <c r="AC43" s="10">
        <v>0</v>
      </c>
      <c r="AD43" s="10">
        <f>24.096/1.18</f>
        <v>20.420338983050847</v>
      </c>
      <c r="AE43" s="10">
        <v>21.1</v>
      </c>
      <c r="AF43" s="39">
        <f>10.893685/1.18</f>
        <v>9.2319364406779663</v>
      </c>
      <c r="AG43" s="39">
        <v>0</v>
      </c>
      <c r="AH43" s="39">
        <v>13.93212711864407</v>
      </c>
      <c r="AI43" s="10">
        <v>0</v>
      </c>
      <c r="AJ43" s="10">
        <v>0</v>
      </c>
      <c r="AK43" s="3">
        <f t="shared" si="21"/>
        <v>29.652275423728813</v>
      </c>
      <c r="AL43" s="3">
        <f t="shared" si="22"/>
        <v>43.584402542372885</v>
      </c>
      <c r="AM43" s="12" t="s">
        <v>338</v>
      </c>
    </row>
    <row r="44" spans="1:39" ht="270" x14ac:dyDescent="0.25">
      <c r="A44" s="17" t="s">
        <v>43</v>
      </c>
      <c r="B44" s="44" t="s">
        <v>57</v>
      </c>
      <c r="C44" s="45" t="s">
        <v>58</v>
      </c>
      <c r="D44" s="45" t="s">
        <v>334</v>
      </c>
      <c r="E44" s="45">
        <v>2016</v>
      </c>
      <c r="F44" s="45">
        <v>2017</v>
      </c>
      <c r="G44" s="53">
        <v>2018</v>
      </c>
      <c r="H44" s="14">
        <v>0.19830508474576272</v>
      </c>
      <c r="I44" s="52">
        <v>8.1355932203389839E-2</v>
      </c>
      <c r="J44" s="14"/>
      <c r="K44" s="51">
        <v>0.19800000000000001</v>
      </c>
      <c r="L44" s="41">
        <v>0</v>
      </c>
      <c r="M44" s="52">
        <v>0.193</v>
      </c>
      <c r="N44" s="41">
        <v>0</v>
      </c>
      <c r="O44" s="41">
        <v>5.0000000000000001E-3</v>
      </c>
      <c r="P44" s="51">
        <f t="shared" si="20"/>
        <v>0.27966101694915257</v>
      </c>
      <c r="Q44" s="51">
        <v>0</v>
      </c>
      <c r="R44" s="52">
        <v>0.27966101694915257</v>
      </c>
      <c r="S44" s="51">
        <v>0</v>
      </c>
      <c r="T44" s="41">
        <v>0</v>
      </c>
      <c r="U44" s="10">
        <v>0.19322033898305085</v>
      </c>
      <c r="V44" s="10">
        <v>0.19322033898305085</v>
      </c>
      <c r="W44" s="10">
        <v>0</v>
      </c>
      <c r="X44" s="10">
        <v>0</v>
      </c>
      <c r="Y44" s="41">
        <v>0</v>
      </c>
      <c r="Z44" s="3">
        <v>0</v>
      </c>
      <c r="AA44" s="10"/>
      <c r="AB44" s="10"/>
      <c r="AC44" s="10">
        <v>0</v>
      </c>
      <c r="AD44" s="10">
        <f>0.043/1.18</f>
        <v>3.6440677966101696E-2</v>
      </c>
      <c r="AE44" s="10">
        <v>0.19322033898305085</v>
      </c>
      <c r="AF44" s="39">
        <f>0.090101/1.18</f>
        <v>7.6356779661016949E-2</v>
      </c>
      <c r="AG44" s="39">
        <v>0</v>
      </c>
      <c r="AH44" s="39">
        <v>0</v>
      </c>
      <c r="AI44" s="10">
        <v>0</v>
      </c>
      <c r="AJ44" s="10">
        <v>0</v>
      </c>
      <c r="AK44" s="3">
        <f t="shared" si="21"/>
        <v>0.11279745762711865</v>
      </c>
      <c r="AL44" s="3">
        <f t="shared" si="22"/>
        <v>0.11279745762711865</v>
      </c>
      <c r="AM44" s="12" t="s">
        <v>340</v>
      </c>
    </row>
    <row r="45" spans="1:39" ht="270" x14ac:dyDescent="0.25">
      <c r="A45" s="17" t="s">
        <v>43</v>
      </c>
      <c r="B45" s="44" t="s">
        <v>59</v>
      </c>
      <c r="C45" s="45" t="s">
        <v>60</v>
      </c>
      <c r="D45" s="45" t="s">
        <v>334</v>
      </c>
      <c r="E45" s="45">
        <v>2016</v>
      </c>
      <c r="F45" s="45">
        <v>2017</v>
      </c>
      <c r="G45" s="53">
        <v>2018</v>
      </c>
      <c r="H45" s="14">
        <v>0.33898305084745767</v>
      </c>
      <c r="I45" s="52">
        <v>0.1805084745762712</v>
      </c>
      <c r="J45" s="14"/>
      <c r="K45" s="51">
        <v>0.33899999999999997</v>
      </c>
      <c r="L45" s="41">
        <v>2.7E-2</v>
      </c>
      <c r="M45" s="41">
        <v>0.186</v>
      </c>
      <c r="N45" s="41">
        <v>0</v>
      </c>
      <c r="O45" s="41">
        <v>0.126</v>
      </c>
      <c r="P45" s="51">
        <f t="shared" si="20"/>
        <v>0.40200000000000002</v>
      </c>
      <c r="Q45" s="41">
        <v>0.14599999999999999</v>
      </c>
      <c r="R45" s="51">
        <v>0.25600000000000001</v>
      </c>
      <c r="S45" s="51">
        <v>0</v>
      </c>
      <c r="T45" s="41">
        <v>0</v>
      </c>
      <c r="U45" s="10">
        <v>0.21355932203389832</v>
      </c>
      <c r="V45" s="10">
        <v>0.21355932203389832</v>
      </c>
      <c r="W45" s="10">
        <v>0</v>
      </c>
      <c r="X45" s="10">
        <v>0</v>
      </c>
      <c r="Y45" s="41">
        <v>0</v>
      </c>
      <c r="Z45" s="3">
        <v>0</v>
      </c>
      <c r="AA45" s="10"/>
      <c r="AB45" s="10"/>
      <c r="AC45" s="10">
        <v>0</v>
      </c>
      <c r="AD45" s="10">
        <f>0.036/1.18</f>
        <v>3.0508474576271184E-2</v>
      </c>
      <c r="AE45" s="10">
        <v>0.21355932203389832</v>
      </c>
      <c r="AF45" s="39">
        <f>0.0655/1.18</f>
        <v>5.5508474576271193E-2</v>
      </c>
      <c r="AG45" s="39">
        <v>0</v>
      </c>
      <c r="AH45" s="39">
        <v>0</v>
      </c>
      <c r="AI45" s="10">
        <v>0</v>
      </c>
      <c r="AJ45" s="10">
        <v>0</v>
      </c>
      <c r="AK45" s="3">
        <f t="shared" si="21"/>
        <v>8.6016949152542377E-2</v>
      </c>
      <c r="AL45" s="3">
        <f t="shared" si="22"/>
        <v>8.6016949152542377E-2</v>
      </c>
      <c r="AM45" s="12" t="s">
        <v>340</v>
      </c>
    </row>
    <row r="46" spans="1:39" ht="270" x14ac:dyDescent="0.25">
      <c r="A46" s="17" t="s">
        <v>43</v>
      </c>
      <c r="B46" s="44" t="s">
        <v>61</v>
      </c>
      <c r="C46" s="45" t="s">
        <v>62</v>
      </c>
      <c r="D46" s="45" t="s">
        <v>334</v>
      </c>
      <c r="E46" s="45">
        <v>2016</v>
      </c>
      <c r="F46" s="45">
        <v>2017</v>
      </c>
      <c r="G46" s="53">
        <v>2018</v>
      </c>
      <c r="H46" s="14">
        <v>0.59576271186440677</v>
      </c>
      <c r="I46" s="52">
        <v>0.15423728813559323</v>
      </c>
      <c r="J46" s="14"/>
      <c r="K46" s="51">
        <v>0.59600000000000009</v>
      </c>
      <c r="L46" s="41">
        <v>2.7E-2</v>
      </c>
      <c r="M46" s="41">
        <v>0.54</v>
      </c>
      <c r="N46" s="41">
        <v>0</v>
      </c>
      <c r="O46" s="41">
        <v>2.9000000000000001E-2</v>
      </c>
      <c r="P46" s="51">
        <f t="shared" si="20"/>
        <v>0.7400000000000001</v>
      </c>
      <c r="Q46" s="41">
        <v>5.6000000000000001E-2</v>
      </c>
      <c r="R46" s="51">
        <v>0.68400000000000005</v>
      </c>
      <c r="S46" s="51">
        <v>0</v>
      </c>
      <c r="T46" s="41">
        <v>0</v>
      </c>
      <c r="U46" s="10">
        <v>0.56694915254237299</v>
      </c>
      <c r="V46" s="10">
        <v>0.56694915254237299</v>
      </c>
      <c r="W46" s="10">
        <v>0</v>
      </c>
      <c r="X46" s="10">
        <v>0</v>
      </c>
      <c r="Y46" s="41">
        <v>0</v>
      </c>
      <c r="Z46" s="3">
        <v>0</v>
      </c>
      <c r="AA46" s="10"/>
      <c r="AB46" s="10"/>
      <c r="AC46" s="10">
        <v>0</v>
      </c>
      <c r="AD46" s="10">
        <f>0.108/1.18</f>
        <v>9.152542372881356E-2</v>
      </c>
      <c r="AE46" s="10">
        <v>0.56694915254237299</v>
      </c>
      <c r="AF46" s="39">
        <f>0.148657/1.18</f>
        <v>0.12598050847457629</v>
      </c>
      <c r="AG46" s="39">
        <v>0</v>
      </c>
      <c r="AH46" s="39">
        <v>0</v>
      </c>
      <c r="AI46" s="10">
        <v>0</v>
      </c>
      <c r="AJ46" s="10">
        <v>0</v>
      </c>
      <c r="AK46" s="3">
        <f t="shared" si="21"/>
        <v>0.21750593220338985</v>
      </c>
      <c r="AL46" s="3">
        <f t="shared" si="22"/>
        <v>0.21750593220338985</v>
      </c>
      <c r="AM46" s="12" t="s">
        <v>340</v>
      </c>
    </row>
    <row r="47" spans="1:39" ht="270" x14ac:dyDescent="0.25">
      <c r="A47" s="17" t="s">
        <v>43</v>
      </c>
      <c r="B47" s="44" t="s">
        <v>63</v>
      </c>
      <c r="C47" s="45" t="s">
        <v>64</v>
      </c>
      <c r="D47" s="45" t="s">
        <v>334</v>
      </c>
      <c r="E47" s="45">
        <v>2016</v>
      </c>
      <c r="F47" s="45">
        <v>2017</v>
      </c>
      <c r="G47" s="53">
        <v>2018</v>
      </c>
      <c r="H47" s="14">
        <v>0.4033898305084746</v>
      </c>
      <c r="I47" s="52">
        <v>7.5423728813559326E-2</v>
      </c>
      <c r="J47" s="14"/>
      <c r="K47" s="51">
        <v>0.40299999999999997</v>
      </c>
      <c r="L47" s="41">
        <v>4.3999999999999997E-2</v>
      </c>
      <c r="M47" s="41">
        <v>0.315</v>
      </c>
      <c r="N47" s="41">
        <v>0</v>
      </c>
      <c r="O47" s="41">
        <v>4.3999999999999997E-2</v>
      </c>
      <c r="P47" s="51">
        <f t="shared" si="20"/>
        <v>0.43499999999999994</v>
      </c>
      <c r="Q47" s="41">
        <v>8.7999999999999995E-2</v>
      </c>
      <c r="R47" s="51">
        <v>0.34699999999999998</v>
      </c>
      <c r="S47" s="51">
        <v>0</v>
      </c>
      <c r="T47" s="41">
        <v>0</v>
      </c>
      <c r="U47" s="10">
        <v>0.35932203389830508</v>
      </c>
      <c r="V47" s="10">
        <v>0.35932203389830508</v>
      </c>
      <c r="W47" s="10">
        <v>0</v>
      </c>
      <c r="X47" s="10">
        <v>0</v>
      </c>
      <c r="Y47" s="41">
        <v>0</v>
      </c>
      <c r="Z47" s="3">
        <v>0</v>
      </c>
      <c r="AA47" s="10"/>
      <c r="AB47" s="10"/>
      <c r="AC47" s="10">
        <v>0</v>
      </c>
      <c r="AD47" s="10">
        <f>0.052/1.18</f>
        <v>4.4067796610169491E-2</v>
      </c>
      <c r="AE47" s="10">
        <v>0.35932203389830508</v>
      </c>
      <c r="AF47" s="39">
        <f>0.036806/1.18</f>
        <v>3.1191525423728814E-2</v>
      </c>
      <c r="AG47" s="39">
        <v>0</v>
      </c>
      <c r="AH47" s="39">
        <v>0</v>
      </c>
      <c r="AI47" s="10">
        <v>0</v>
      </c>
      <c r="AJ47" s="10">
        <v>0</v>
      </c>
      <c r="AK47" s="3">
        <f t="shared" si="21"/>
        <v>7.5259322033898304E-2</v>
      </c>
      <c r="AL47" s="3">
        <f t="shared" si="22"/>
        <v>7.5259322033898304E-2</v>
      </c>
      <c r="AM47" s="12" t="s">
        <v>341</v>
      </c>
    </row>
    <row r="48" spans="1:39" ht="225" x14ac:dyDescent="0.25">
      <c r="A48" s="17" t="s">
        <v>43</v>
      </c>
      <c r="B48" s="44" t="s">
        <v>65</v>
      </c>
      <c r="C48" s="45" t="s">
        <v>66</v>
      </c>
      <c r="D48" s="45" t="s">
        <v>334</v>
      </c>
      <c r="E48" s="45">
        <v>2016</v>
      </c>
      <c r="F48" s="45">
        <v>2017</v>
      </c>
      <c r="G48" s="53">
        <v>2018</v>
      </c>
      <c r="H48" s="14">
        <v>0.29661016949152541</v>
      </c>
      <c r="I48" s="52">
        <v>0.34830508474576272</v>
      </c>
      <c r="J48" s="14"/>
      <c r="K48" s="51">
        <v>0.29699999999999999</v>
      </c>
      <c r="L48" s="41">
        <v>4.1000000000000002E-2</v>
      </c>
      <c r="M48" s="41">
        <v>0.251</v>
      </c>
      <c r="N48" s="41">
        <v>0</v>
      </c>
      <c r="O48" s="41">
        <v>5.0000000000000001E-3</v>
      </c>
      <c r="P48" s="51">
        <f t="shared" si="20"/>
        <v>0.34799999999999998</v>
      </c>
      <c r="Q48" s="41">
        <v>4.5999999999999999E-2</v>
      </c>
      <c r="R48" s="51">
        <v>0.30199999999999999</v>
      </c>
      <c r="S48" s="51">
        <v>0</v>
      </c>
      <c r="T48" s="41">
        <v>0</v>
      </c>
      <c r="U48" s="10">
        <v>0.29152542372881357</v>
      </c>
      <c r="V48" s="10">
        <v>0.29152542372881357</v>
      </c>
      <c r="W48" s="10">
        <v>0</v>
      </c>
      <c r="X48" s="10">
        <v>0</v>
      </c>
      <c r="Y48" s="41">
        <v>0.24576271186440676</v>
      </c>
      <c r="Z48" s="3">
        <v>0.24576271186440676</v>
      </c>
      <c r="AA48" s="10"/>
      <c r="AB48" s="10"/>
      <c r="AC48" s="10">
        <v>0</v>
      </c>
      <c r="AD48" s="10">
        <f>0.006/1.18</f>
        <v>5.0847457627118649E-3</v>
      </c>
      <c r="AE48" s="10">
        <v>0.29152542372881357</v>
      </c>
      <c r="AF48" s="39">
        <f>0.118021/1.18</f>
        <v>0.1000177966101695</v>
      </c>
      <c r="AG48" s="39">
        <v>0</v>
      </c>
      <c r="AH48" s="39">
        <v>0.24576271186440676</v>
      </c>
      <c r="AI48" s="10">
        <v>0</v>
      </c>
      <c r="AJ48" s="10">
        <v>0</v>
      </c>
      <c r="AK48" s="3">
        <f t="shared" si="21"/>
        <v>0.10510254237288137</v>
      </c>
      <c r="AL48" s="3">
        <f t="shared" si="22"/>
        <v>0.35086525423728815</v>
      </c>
      <c r="AM48" s="12" t="s">
        <v>338</v>
      </c>
    </row>
    <row r="49" spans="1:39" ht="225" x14ac:dyDescent="0.25">
      <c r="A49" s="17" t="s">
        <v>43</v>
      </c>
      <c r="B49" s="44" t="s">
        <v>67</v>
      </c>
      <c r="C49" s="45" t="s">
        <v>68</v>
      </c>
      <c r="D49" s="45" t="s">
        <v>334</v>
      </c>
      <c r="E49" s="45">
        <v>2016</v>
      </c>
      <c r="F49" s="45">
        <v>2017</v>
      </c>
      <c r="G49" s="53">
        <v>2018</v>
      </c>
      <c r="H49" s="14">
        <v>0.53644067796610173</v>
      </c>
      <c r="I49" s="52">
        <v>0.86440677966101698</v>
      </c>
      <c r="J49" s="14"/>
      <c r="K49" s="51">
        <v>0.53600000000000003</v>
      </c>
      <c r="L49" s="41">
        <v>5.8000000000000003E-2</v>
      </c>
      <c r="M49" s="41">
        <v>0.47299999999999998</v>
      </c>
      <c r="N49" s="41">
        <v>0</v>
      </c>
      <c r="O49" s="41">
        <v>5.0000000000000001E-3</v>
      </c>
      <c r="P49" s="51">
        <f t="shared" si="20"/>
        <v>0.8640000000000001</v>
      </c>
      <c r="Q49" s="41">
        <v>6.3E-2</v>
      </c>
      <c r="R49" s="51">
        <v>0.80100000000000005</v>
      </c>
      <c r="S49" s="51">
        <v>0</v>
      </c>
      <c r="T49" s="41">
        <v>0</v>
      </c>
      <c r="U49" s="10">
        <v>0.53135593220338984</v>
      </c>
      <c r="V49" s="10">
        <v>0.53135593220338984</v>
      </c>
      <c r="W49" s="10">
        <v>0</v>
      </c>
      <c r="X49" s="10">
        <v>0</v>
      </c>
      <c r="Y49" s="41">
        <v>0.6415254237288136</v>
      </c>
      <c r="Z49" s="3">
        <v>0.6415254237288136</v>
      </c>
      <c r="AA49" s="10"/>
      <c r="AB49" s="10"/>
      <c r="AC49" s="10">
        <v>0</v>
      </c>
      <c r="AD49" s="10">
        <f>0.006/1.18</f>
        <v>5.0847457627118649E-3</v>
      </c>
      <c r="AE49" s="10">
        <v>0.53135593220338984</v>
      </c>
      <c r="AF49" s="39">
        <f>0.254326/1.18</f>
        <v>0.21553050847457628</v>
      </c>
      <c r="AG49" s="39">
        <v>0</v>
      </c>
      <c r="AH49" s="39">
        <v>0.6415254237288136</v>
      </c>
      <c r="AI49" s="10">
        <v>0</v>
      </c>
      <c r="AJ49" s="10">
        <v>0</v>
      </c>
      <c r="AK49" s="3">
        <f t="shared" si="21"/>
        <v>0.22061525423728814</v>
      </c>
      <c r="AL49" s="3">
        <f t="shared" si="22"/>
        <v>0.86214067796610172</v>
      </c>
      <c r="AM49" s="12" t="s">
        <v>338</v>
      </c>
    </row>
    <row r="50" spans="1:39" ht="225" x14ac:dyDescent="0.25">
      <c r="A50" s="17" t="s">
        <v>43</v>
      </c>
      <c r="B50" s="44" t="s">
        <v>69</v>
      </c>
      <c r="C50" s="45" t="s">
        <v>70</v>
      </c>
      <c r="D50" s="45" t="s">
        <v>284</v>
      </c>
      <c r="E50" s="45">
        <v>2014</v>
      </c>
      <c r="F50" s="45">
        <v>2017</v>
      </c>
      <c r="G50" s="53">
        <v>2018</v>
      </c>
      <c r="H50" s="14">
        <v>88.989830508474583</v>
      </c>
      <c r="I50" s="52">
        <v>84.626550847457636</v>
      </c>
      <c r="J50" s="14"/>
      <c r="K50" s="51">
        <v>88.99</v>
      </c>
      <c r="L50" s="41">
        <v>4.6609999999999996</v>
      </c>
      <c r="M50" s="41">
        <v>84.103999999999999</v>
      </c>
      <c r="N50" s="41">
        <v>0</v>
      </c>
      <c r="O50" s="41">
        <v>0.22500000000000001</v>
      </c>
      <c r="P50" s="51">
        <f t="shared" si="20"/>
        <v>84.62700000000001</v>
      </c>
      <c r="Q50" s="51">
        <v>4.6609999999999996</v>
      </c>
      <c r="R50" s="51">
        <v>79.584000000000003</v>
      </c>
      <c r="S50" s="51">
        <v>0</v>
      </c>
      <c r="T50" s="41">
        <v>0.38200000000000001</v>
      </c>
      <c r="U50" s="10">
        <v>88.765254237288133</v>
      </c>
      <c r="V50" s="10">
        <v>88.765254237288133</v>
      </c>
      <c r="W50" s="10">
        <v>0</v>
      </c>
      <c r="X50" s="10">
        <v>0</v>
      </c>
      <c r="Y50" s="41">
        <v>19.895703389830508</v>
      </c>
      <c r="Z50" s="3">
        <v>19.895703389830508</v>
      </c>
      <c r="AA50" s="10"/>
      <c r="AB50" s="39"/>
      <c r="AC50" s="10">
        <v>0</v>
      </c>
      <c r="AD50" s="10">
        <f>0.264/1.18</f>
        <v>0.22372881355932206</v>
      </c>
      <c r="AE50" s="10">
        <v>88.765254237288133</v>
      </c>
      <c r="AF50" s="39">
        <f>76.116957/1.18</f>
        <v>64.505895762711873</v>
      </c>
      <c r="AG50" s="39">
        <v>0</v>
      </c>
      <c r="AH50" s="39">
        <v>19.895703389830508</v>
      </c>
      <c r="AI50" s="10">
        <v>0</v>
      </c>
      <c r="AJ50" s="10">
        <v>0</v>
      </c>
      <c r="AK50" s="3">
        <f t="shared" si="21"/>
        <v>64.729624576271192</v>
      </c>
      <c r="AL50" s="3">
        <f t="shared" si="22"/>
        <v>84.625327966101707</v>
      </c>
      <c r="AM50" s="12" t="s">
        <v>338</v>
      </c>
    </row>
    <row r="51" spans="1:39" ht="105" x14ac:dyDescent="0.25">
      <c r="A51" s="17" t="s">
        <v>43</v>
      </c>
      <c r="B51" s="44" t="s">
        <v>71</v>
      </c>
      <c r="C51" s="45" t="s">
        <v>72</v>
      </c>
      <c r="D51" s="45" t="s">
        <v>333</v>
      </c>
      <c r="E51" s="45">
        <v>2018</v>
      </c>
      <c r="F51" s="45">
        <v>2019</v>
      </c>
      <c r="G51" s="53">
        <v>2018</v>
      </c>
      <c r="H51" s="14">
        <v>32.482203389830509</v>
      </c>
      <c r="I51" s="52">
        <v>32.482203389830509</v>
      </c>
      <c r="J51" s="14"/>
      <c r="K51" s="51">
        <v>32.481999999999999</v>
      </c>
      <c r="L51" s="41">
        <v>4.8719999999999999</v>
      </c>
      <c r="M51" s="41">
        <v>27.61</v>
      </c>
      <c r="N51" s="41">
        <v>0</v>
      </c>
      <c r="O51" s="41">
        <v>0</v>
      </c>
      <c r="P51" s="51"/>
      <c r="Q51" s="41"/>
      <c r="R51" s="41"/>
      <c r="S51" s="41"/>
      <c r="T51" s="41"/>
      <c r="U51" s="10">
        <v>32.482203389830509</v>
      </c>
      <c r="V51" s="10">
        <v>32.482203389830509</v>
      </c>
      <c r="W51" s="10">
        <v>32.482203389830509</v>
      </c>
      <c r="X51" s="10">
        <v>32.482203389830509</v>
      </c>
      <c r="Y51" s="41"/>
      <c r="Z51" s="3"/>
      <c r="AA51" s="10"/>
      <c r="AB51" s="10"/>
      <c r="AC51" s="10">
        <v>1.4728813559322034</v>
      </c>
      <c r="AD51" s="10">
        <v>0</v>
      </c>
      <c r="AE51" s="10">
        <v>0</v>
      </c>
      <c r="AF51" s="10">
        <v>0</v>
      </c>
      <c r="AG51" s="10">
        <v>0</v>
      </c>
      <c r="AH51" s="39">
        <v>0</v>
      </c>
      <c r="AI51" s="10">
        <v>32.482203389830509</v>
      </c>
      <c r="AJ51" s="10"/>
      <c r="AK51" s="3">
        <f t="shared" si="21"/>
        <v>32.482203389830509</v>
      </c>
      <c r="AL51" s="3">
        <f t="shared" si="22"/>
        <v>0</v>
      </c>
      <c r="AM51" s="12" t="s">
        <v>357</v>
      </c>
    </row>
    <row r="52" spans="1:39" ht="105" x14ac:dyDescent="0.25">
      <c r="A52" s="17" t="s">
        <v>43</v>
      </c>
      <c r="B52" s="44" t="s">
        <v>73</v>
      </c>
      <c r="C52" s="45" t="s">
        <v>74</v>
      </c>
      <c r="D52" s="45" t="s">
        <v>333</v>
      </c>
      <c r="E52" s="45">
        <v>2018</v>
      </c>
      <c r="F52" s="45">
        <v>2019</v>
      </c>
      <c r="G52" s="53">
        <v>2019</v>
      </c>
      <c r="H52" s="14">
        <v>29.200000000000003</v>
      </c>
      <c r="I52" s="52">
        <v>29.200000000000003</v>
      </c>
      <c r="J52" s="14"/>
      <c r="K52" s="51">
        <v>29.2</v>
      </c>
      <c r="L52" s="41">
        <v>4.38</v>
      </c>
      <c r="M52" s="41">
        <v>24.82</v>
      </c>
      <c r="N52" s="41">
        <v>0</v>
      </c>
      <c r="O52" s="41">
        <v>0</v>
      </c>
      <c r="P52" s="51"/>
      <c r="Q52" s="41"/>
      <c r="R52" s="41"/>
      <c r="S52" s="41"/>
      <c r="T52" s="41"/>
      <c r="U52" s="10">
        <v>29.200000000000003</v>
      </c>
      <c r="V52" s="10">
        <v>29.200000000000003</v>
      </c>
      <c r="W52" s="10">
        <v>29.200000000000003</v>
      </c>
      <c r="X52" s="10">
        <v>29.200000000000003</v>
      </c>
      <c r="Y52" s="41"/>
      <c r="Z52" s="3"/>
      <c r="AA52" s="10"/>
      <c r="AB52" s="10"/>
      <c r="AC52" s="10"/>
      <c r="AD52" s="10"/>
      <c r="AE52" s="10"/>
      <c r="AF52" s="10"/>
      <c r="AG52" s="10"/>
      <c r="AH52" s="10"/>
      <c r="AI52" s="10">
        <v>29.200000000000003</v>
      </c>
      <c r="AJ52" s="10"/>
      <c r="AK52" s="3">
        <f t="shared" si="21"/>
        <v>29.200000000000003</v>
      </c>
      <c r="AL52" s="3">
        <f t="shared" si="22"/>
        <v>0</v>
      </c>
      <c r="AM52" s="12" t="s">
        <v>357</v>
      </c>
    </row>
    <row r="53" spans="1:39" ht="105" x14ac:dyDescent="0.25">
      <c r="A53" s="17" t="s">
        <v>43</v>
      </c>
      <c r="B53" s="44" t="s">
        <v>75</v>
      </c>
      <c r="C53" s="45" t="s">
        <v>76</v>
      </c>
      <c r="D53" s="45" t="s">
        <v>333</v>
      </c>
      <c r="E53" s="45">
        <v>2018</v>
      </c>
      <c r="F53" s="45">
        <v>2019</v>
      </c>
      <c r="G53" s="53">
        <v>2019</v>
      </c>
      <c r="H53" s="14">
        <v>0.76355932203389831</v>
      </c>
      <c r="I53" s="52">
        <v>0.76355932203389831</v>
      </c>
      <c r="J53" s="14"/>
      <c r="K53" s="51">
        <v>0.76355932203389831</v>
      </c>
      <c r="L53" s="41">
        <v>0</v>
      </c>
      <c r="M53" s="52">
        <v>0.76355932203389831</v>
      </c>
      <c r="N53" s="41">
        <v>0</v>
      </c>
      <c r="O53" s="41">
        <v>0</v>
      </c>
      <c r="P53" s="51"/>
      <c r="Q53" s="41"/>
      <c r="R53" s="14"/>
      <c r="S53" s="41"/>
      <c r="T53" s="41"/>
      <c r="U53" s="10">
        <v>0.76355932203389831</v>
      </c>
      <c r="V53" s="10">
        <v>0.76355932203389831</v>
      </c>
      <c r="W53" s="10">
        <v>0.76355932203389831</v>
      </c>
      <c r="X53" s="10">
        <v>0.76355932203389831</v>
      </c>
      <c r="Y53" s="41"/>
      <c r="Z53" s="3"/>
      <c r="AA53" s="10"/>
      <c r="AB53" s="10"/>
      <c r="AC53" s="10"/>
      <c r="AD53" s="10"/>
      <c r="AE53" s="10"/>
      <c r="AF53" s="10"/>
      <c r="AG53" s="10"/>
      <c r="AH53" s="10"/>
      <c r="AI53" s="10">
        <v>0.76355932203389831</v>
      </c>
      <c r="AJ53" s="10"/>
      <c r="AK53" s="3">
        <f t="shared" si="21"/>
        <v>0.76355932203389831</v>
      </c>
      <c r="AL53" s="3">
        <f t="shared" si="22"/>
        <v>0</v>
      </c>
      <c r="AM53" s="12" t="s">
        <v>357</v>
      </c>
    </row>
    <row r="54" spans="1:39" ht="105" x14ac:dyDescent="0.25">
      <c r="A54" s="17" t="s">
        <v>43</v>
      </c>
      <c r="B54" s="44" t="s">
        <v>77</v>
      </c>
      <c r="C54" s="45" t="s">
        <v>78</v>
      </c>
      <c r="D54" s="45" t="s">
        <v>333</v>
      </c>
      <c r="E54" s="45">
        <v>2018</v>
      </c>
      <c r="F54" s="45">
        <v>2019</v>
      </c>
      <c r="G54" s="53">
        <v>2019</v>
      </c>
      <c r="H54" s="14">
        <v>0.60169491525423724</v>
      </c>
      <c r="I54" s="52">
        <v>0.60169491525423724</v>
      </c>
      <c r="J54" s="14"/>
      <c r="K54" s="51">
        <v>0.60169491525423724</v>
      </c>
      <c r="L54" s="41">
        <v>0</v>
      </c>
      <c r="M54" s="52">
        <v>0.60169491525423724</v>
      </c>
      <c r="N54" s="41">
        <v>0</v>
      </c>
      <c r="O54" s="41">
        <v>0</v>
      </c>
      <c r="P54" s="51"/>
      <c r="Q54" s="41"/>
      <c r="R54" s="14"/>
      <c r="S54" s="41"/>
      <c r="T54" s="41"/>
      <c r="U54" s="10">
        <v>0.60169491525423724</v>
      </c>
      <c r="V54" s="10">
        <v>0.60169491525423724</v>
      </c>
      <c r="W54" s="10">
        <v>0.60169491525423724</v>
      </c>
      <c r="X54" s="10">
        <v>0.60169491525423724</v>
      </c>
      <c r="Y54" s="41"/>
      <c r="Z54" s="3"/>
      <c r="AA54" s="10"/>
      <c r="AB54" s="10"/>
      <c r="AC54" s="10"/>
      <c r="AD54" s="10"/>
      <c r="AE54" s="10"/>
      <c r="AF54" s="10"/>
      <c r="AG54" s="10"/>
      <c r="AH54" s="10"/>
      <c r="AI54" s="10">
        <v>0.60169491525423724</v>
      </c>
      <c r="AJ54" s="10"/>
      <c r="AK54" s="3">
        <f t="shared" si="21"/>
        <v>0.60169491525423724</v>
      </c>
      <c r="AL54" s="3">
        <f t="shared" si="22"/>
        <v>0</v>
      </c>
      <c r="AM54" s="12" t="s">
        <v>357</v>
      </c>
    </row>
    <row r="55" spans="1:39" ht="30" x14ac:dyDescent="0.25">
      <c r="A55" s="46" t="s">
        <v>43</v>
      </c>
      <c r="B55" s="42" t="s">
        <v>311</v>
      </c>
      <c r="C55" s="55" t="s">
        <v>313</v>
      </c>
      <c r="D55" s="45" t="s">
        <v>334</v>
      </c>
      <c r="E55" s="45">
        <v>2017</v>
      </c>
      <c r="F55" s="45"/>
      <c r="G55" s="53">
        <v>2018</v>
      </c>
      <c r="H55" s="14"/>
      <c r="I55" s="52">
        <v>0.43050847457627123</v>
      </c>
      <c r="J55" s="14"/>
      <c r="K55" s="51"/>
      <c r="L55" s="41"/>
      <c r="M55" s="41"/>
      <c r="N55" s="41"/>
      <c r="O55" s="41"/>
      <c r="P55" s="51">
        <f t="shared" ref="P55:P61" si="23">Q55+R55+S55+T55</f>
        <v>0.49199999999999999</v>
      </c>
      <c r="Q55" s="51">
        <v>7.3999999999999996E-2</v>
      </c>
      <c r="R55" s="51">
        <v>0.41799999999999998</v>
      </c>
      <c r="S55" s="51">
        <v>0</v>
      </c>
      <c r="T55" s="41">
        <v>0</v>
      </c>
      <c r="U55" s="10">
        <v>0</v>
      </c>
      <c r="V55" s="10">
        <v>0</v>
      </c>
      <c r="W55" s="10">
        <v>0</v>
      </c>
      <c r="X55" s="10">
        <v>0</v>
      </c>
      <c r="Y55" s="41">
        <v>0.3186440677966102</v>
      </c>
      <c r="Z55" s="3">
        <v>0.3186440677966102</v>
      </c>
      <c r="AA55" s="10"/>
      <c r="AB55" s="10"/>
      <c r="AC55" s="10"/>
      <c r="AD55" s="10"/>
      <c r="AE55" s="10">
        <v>0</v>
      </c>
      <c r="AF55" s="10">
        <f>0.131826/1.18</f>
        <v>0.11171694915254238</v>
      </c>
      <c r="AG55" s="10">
        <v>0</v>
      </c>
      <c r="AH55" s="39">
        <v>0.3186440677966102</v>
      </c>
      <c r="AI55" s="10"/>
      <c r="AJ55" s="10"/>
      <c r="AK55" s="3">
        <f t="shared" si="21"/>
        <v>0.11171694915254238</v>
      </c>
      <c r="AL55" s="3">
        <f t="shared" si="22"/>
        <v>0.43036101694915257</v>
      </c>
      <c r="AM55" s="12" t="s">
        <v>342</v>
      </c>
    </row>
    <row r="56" spans="1:39" ht="30" x14ac:dyDescent="0.25">
      <c r="A56" s="46" t="s">
        <v>43</v>
      </c>
      <c r="B56" s="42" t="s">
        <v>320</v>
      </c>
      <c r="C56" s="55" t="s">
        <v>314</v>
      </c>
      <c r="D56" s="45" t="s">
        <v>333</v>
      </c>
      <c r="E56" s="45">
        <v>2017</v>
      </c>
      <c r="F56" s="45"/>
      <c r="G56" s="53">
        <v>2018</v>
      </c>
      <c r="H56" s="14"/>
      <c r="I56" s="52">
        <v>0.25423728813559326</v>
      </c>
      <c r="J56" s="14"/>
      <c r="K56" s="51"/>
      <c r="L56" s="41"/>
      <c r="M56" s="41"/>
      <c r="N56" s="41"/>
      <c r="O56" s="41"/>
      <c r="P56" s="51">
        <f t="shared" si="23"/>
        <v>0.29699999999999999</v>
      </c>
      <c r="Q56" s="51">
        <v>4.5999999999999999E-2</v>
      </c>
      <c r="R56" s="51">
        <v>0.251</v>
      </c>
      <c r="S56" s="51">
        <v>0</v>
      </c>
      <c r="T56" s="41">
        <v>0</v>
      </c>
      <c r="U56" s="10">
        <v>0</v>
      </c>
      <c r="V56" s="10">
        <v>0</v>
      </c>
      <c r="W56" s="10">
        <v>0</v>
      </c>
      <c r="X56" s="10">
        <v>0</v>
      </c>
      <c r="Y56" s="41">
        <v>0.22542372881355935</v>
      </c>
      <c r="Z56" s="3">
        <v>0.22542372881355935</v>
      </c>
      <c r="AA56" s="10"/>
      <c r="AB56" s="10"/>
      <c r="AC56" s="10"/>
      <c r="AD56" s="10"/>
      <c r="AE56" s="10">
        <v>0</v>
      </c>
      <c r="AF56" s="10">
        <f>0.03386/1.18</f>
        <v>2.8694915254237292E-2</v>
      </c>
      <c r="AG56" s="10">
        <v>0</v>
      </c>
      <c r="AH56" s="39">
        <v>0.22542372881355935</v>
      </c>
      <c r="AI56" s="10"/>
      <c r="AJ56" s="10"/>
      <c r="AK56" s="3">
        <f t="shared" si="21"/>
        <v>2.8694915254237292E-2</v>
      </c>
      <c r="AL56" s="3">
        <f t="shared" si="22"/>
        <v>0.25411864406779666</v>
      </c>
      <c r="AM56" s="12" t="s">
        <v>342</v>
      </c>
    </row>
    <row r="57" spans="1:39" ht="30" x14ac:dyDescent="0.25">
      <c r="A57" s="46" t="s">
        <v>43</v>
      </c>
      <c r="B57" s="42" t="s">
        <v>322</v>
      </c>
      <c r="C57" s="55" t="s">
        <v>327</v>
      </c>
      <c r="D57" s="45" t="s">
        <v>333</v>
      </c>
      <c r="E57" s="45">
        <v>2018</v>
      </c>
      <c r="F57" s="45"/>
      <c r="G57" s="53">
        <v>2018</v>
      </c>
      <c r="H57" s="14"/>
      <c r="I57" s="52">
        <v>0.24576271186440676</v>
      </c>
      <c r="J57" s="14"/>
      <c r="K57" s="51"/>
      <c r="L57" s="41"/>
      <c r="M57" s="41"/>
      <c r="N57" s="41"/>
      <c r="O57" s="41"/>
      <c r="P57" s="51">
        <f t="shared" si="23"/>
        <v>0.29199999999999998</v>
      </c>
      <c r="Q57" s="51">
        <v>5.3999999999999999E-2</v>
      </c>
      <c r="R57" s="51">
        <v>0.23799999999999999</v>
      </c>
      <c r="S57" s="51">
        <v>0</v>
      </c>
      <c r="T57" s="41">
        <v>0</v>
      </c>
      <c r="U57" s="10">
        <v>0</v>
      </c>
      <c r="V57" s="10">
        <v>0</v>
      </c>
      <c r="W57" s="10">
        <v>0</v>
      </c>
      <c r="X57" s="10">
        <v>0</v>
      </c>
      <c r="Y57" s="41">
        <v>0.24576271186440676</v>
      </c>
      <c r="Z57" s="3">
        <v>0.24576271186440676</v>
      </c>
      <c r="AA57" s="10"/>
      <c r="AB57" s="10"/>
      <c r="AC57" s="10"/>
      <c r="AD57" s="10"/>
      <c r="AE57" s="10"/>
      <c r="AF57" s="10"/>
      <c r="AG57" s="10">
        <v>0</v>
      </c>
      <c r="AH57" s="39">
        <v>0.24576271186440676</v>
      </c>
      <c r="AI57" s="10"/>
      <c r="AJ57" s="10"/>
      <c r="AK57" s="3">
        <f t="shared" si="21"/>
        <v>0</v>
      </c>
      <c r="AL57" s="3">
        <f t="shared" si="22"/>
        <v>0.24576271186440676</v>
      </c>
      <c r="AM57" s="12" t="s">
        <v>342</v>
      </c>
    </row>
    <row r="58" spans="1:39" ht="30" x14ac:dyDescent="0.25">
      <c r="A58" s="46" t="s">
        <v>43</v>
      </c>
      <c r="B58" s="42" t="s">
        <v>323</v>
      </c>
      <c r="C58" s="55" t="s">
        <v>328</v>
      </c>
      <c r="D58" s="45" t="s">
        <v>333</v>
      </c>
      <c r="E58" s="45">
        <v>2018</v>
      </c>
      <c r="F58" s="45"/>
      <c r="G58" s="53">
        <v>2018</v>
      </c>
      <c r="H58" s="14"/>
      <c r="I58" s="52">
        <v>0.96101694915254232</v>
      </c>
      <c r="J58" s="14"/>
      <c r="K58" s="51"/>
      <c r="L58" s="41"/>
      <c r="M58" s="41"/>
      <c r="N58" s="41"/>
      <c r="O58" s="41"/>
      <c r="P58" s="51">
        <f t="shared" si="23"/>
        <v>1.1440677966101696</v>
      </c>
      <c r="Q58" s="51">
        <v>0.11016949152542374</v>
      </c>
      <c r="R58" s="51">
        <v>1.0338983050847459</v>
      </c>
      <c r="S58" s="51">
        <v>0</v>
      </c>
      <c r="T58" s="41">
        <v>0</v>
      </c>
      <c r="U58" s="10">
        <v>0</v>
      </c>
      <c r="V58" s="10">
        <v>0</v>
      </c>
      <c r="W58" s="10">
        <v>0</v>
      </c>
      <c r="X58" s="10">
        <v>0</v>
      </c>
      <c r="Y58" s="41">
        <v>0.96101694915254232</v>
      </c>
      <c r="Z58" s="3">
        <v>0.96101694915254232</v>
      </c>
      <c r="AA58" s="10"/>
      <c r="AB58" s="10"/>
      <c r="AC58" s="10"/>
      <c r="AD58" s="10"/>
      <c r="AE58" s="10"/>
      <c r="AF58" s="10"/>
      <c r="AG58" s="10">
        <v>0</v>
      </c>
      <c r="AH58" s="39">
        <v>0.96101694915254232</v>
      </c>
      <c r="AI58" s="10"/>
      <c r="AJ58" s="10"/>
      <c r="AK58" s="3">
        <f t="shared" si="21"/>
        <v>0</v>
      </c>
      <c r="AL58" s="3">
        <f t="shared" si="22"/>
        <v>0.96101694915254232</v>
      </c>
      <c r="AM58" s="12" t="s">
        <v>342</v>
      </c>
    </row>
    <row r="59" spans="1:39" ht="30" x14ac:dyDescent="0.25">
      <c r="A59" s="46" t="s">
        <v>43</v>
      </c>
      <c r="B59" s="42" t="s">
        <v>324</v>
      </c>
      <c r="C59" s="55" t="s">
        <v>329</v>
      </c>
      <c r="D59" s="45" t="s">
        <v>333</v>
      </c>
      <c r="E59" s="45">
        <v>2018</v>
      </c>
      <c r="F59" s="45"/>
      <c r="G59" s="53">
        <v>2018</v>
      </c>
      <c r="H59" s="14"/>
      <c r="I59" s="52">
        <v>0.18305084745762712</v>
      </c>
      <c r="J59" s="14"/>
      <c r="K59" s="51"/>
      <c r="L59" s="41"/>
      <c r="M59" s="41"/>
      <c r="N59" s="41"/>
      <c r="O59" s="41"/>
      <c r="P59" s="51">
        <f t="shared" si="23"/>
        <v>0.21779661016949153</v>
      </c>
      <c r="Q59" s="51">
        <v>2.7118644067796613E-2</v>
      </c>
      <c r="R59" s="51">
        <v>0.19067796610169493</v>
      </c>
      <c r="S59" s="51">
        <v>0</v>
      </c>
      <c r="T59" s="41">
        <v>0</v>
      </c>
      <c r="U59" s="10">
        <v>0</v>
      </c>
      <c r="V59" s="10">
        <v>0</v>
      </c>
      <c r="W59" s="10">
        <v>0</v>
      </c>
      <c r="X59" s="10">
        <v>0</v>
      </c>
      <c r="Y59" s="41">
        <v>0.18305084745762712</v>
      </c>
      <c r="Z59" s="3">
        <v>0.18305084745762712</v>
      </c>
      <c r="AA59" s="10"/>
      <c r="AB59" s="10"/>
      <c r="AC59" s="10"/>
      <c r="AD59" s="10"/>
      <c r="AE59" s="10"/>
      <c r="AF59" s="10"/>
      <c r="AG59" s="10">
        <v>0</v>
      </c>
      <c r="AH59" s="39">
        <v>0.18305084745762712</v>
      </c>
      <c r="AI59" s="10"/>
      <c r="AJ59" s="10"/>
      <c r="AK59" s="3">
        <f t="shared" si="21"/>
        <v>0</v>
      </c>
      <c r="AL59" s="3">
        <f t="shared" si="22"/>
        <v>0.18305084745762712</v>
      </c>
      <c r="AM59" s="12" t="s">
        <v>342</v>
      </c>
    </row>
    <row r="60" spans="1:39" ht="30" x14ac:dyDescent="0.25">
      <c r="A60" s="46" t="s">
        <v>43</v>
      </c>
      <c r="B60" s="42" t="s">
        <v>325</v>
      </c>
      <c r="C60" s="55" t="s">
        <v>330</v>
      </c>
      <c r="D60" s="45" t="s">
        <v>333</v>
      </c>
      <c r="E60" s="45">
        <v>2018</v>
      </c>
      <c r="F60" s="45"/>
      <c r="G60" s="53">
        <v>2018</v>
      </c>
      <c r="H60" s="14"/>
      <c r="I60" s="52">
        <v>0.13135593220338984</v>
      </c>
      <c r="J60" s="14"/>
      <c r="K60" s="51"/>
      <c r="L60" s="41"/>
      <c r="M60" s="41"/>
      <c r="N60" s="41"/>
      <c r="O60" s="41"/>
      <c r="P60" s="51">
        <f t="shared" si="23"/>
        <v>0.15593220338983049</v>
      </c>
      <c r="Q60" s="51">
        <v>2.7118644067796613E-2</v>
      </c>
      <c r="R60" s="51">
        <v>0.12881355932203389</v>
      </c>
      <c r="S60" s="51">
        <v>0</v>
      </c>
      <c r="T60" s="41">
        <v>0</v>
      </c>
      <c r="U60" s="10">
        <v>0</v>
      </c>
      <c r="V60" s="10">
        <v>0</v>
      </c>
      <c r="W60" s="10">
        <v>0</v>
      </c>
      <c r="X60" s="10">
        <v>0</v>
      </c>
      <c r="Y60" s="41">
        <v>0.13135593220338984</v>
      </c>
      <c r="Z60" s="3">
        <v>0.13135593220338984</v>
      </c>
      <c r="AA60" s="10"/>
      <c r="AB60" s="10"/>
      <c r="AC60" s="10"/>
      <c r="AD60" s="10"/>
      <c r="AE60" s="10"/>
      <c r="AF60" s="10"/>
      <c r="AG60" s="10">
        <v>0</v>
      </c>
      <c r="AH60" s="39">
        <v>0.13135593220338984</v>
      </c>
      <c r="AI60" s="10"/>
      <c r="AJ60" s="10"/>
      <c r="AK60" s="3">
        <f t="shared" si="21"/>
        <v>0</v>
      </c>
      <c r="AL60" s="3">
        <f t="shared" si="22"/>
        <v>0.13135593220338984</v>
      </c>
      <c r="AM60" s="12" t="s">
        <v>342</v>
      </c>
    </row>
    <row r="61" spans="1:39" ht="30" x14ac:dyDescent="0.25">
      <c r="A61" s="46" t="s">
        <v>43</v>
      </c>
      <c r="B61" s="42" t="s">
        <v>326</v>
      </c>
      <c r="C61" s="55" t="s">
        <v>331</v>
      </c>
      <c r="D61" s="45" t="s">
        <v>333</v>
      </c>
      <c r="E61" s="45">
        <v>2018</v>
      </c>
      <c r="F61" s="45"/>
      <c r="G61" s="53">
        <v>2018</v>
      </c>
      <c r="H61" s="14"/>
      <c r="I61" s="52">
        <v>0.26101694915254237</v>
      </c>
      <c r="J61" s="14"/>
      <c r="K61" s="51"/>
      <c r="L61" s="41"/>
      <c r="M61" s="41"/>
      <c r="N61" s="41"/>
      <c r="O61" s="41"/>
      <c r="P61" s="51">
        <f t="shared" si="23"/>
        <v>0.31101694915254241</v>
      </c>
      <c r="Q61" s="51">
        <v>2.7118644067796613E-2</v>
      </c>
      <c r="R61" s="51">
        <v>0.28389830508474578</v>
      </c>
      <c r="S61" s="51">
        <v>0</v>
      </c>
      <c r="T61" s="41">
        <v>0</v>
      </c>
      <c r="U61" s="10">
        <v>0</v>
      </c>
      <c r="V61" s="10">
        <v>0</v>
      </c>
      <c r="W61" s="10">
        <v>0</v>
      </c>
      <c r="X61" s="10">
        <v>0</v>
      </c>
      <c r="Y61" s="41">
        <v>0.26101694915254237</v>
      </c>
      <c r="Z61" s="3">
        <v>0.26101694915254237</v>
      </c>
      <c r="AA61" s="10"/>
      <c r="AB61" s="10"/>
      <c r="AC61" s="10"/>
      <c r="AD61" s="10"/>
      <c r="AE61" s="10"/>
      <c r="AF61" s="10"/>
      <c r="AG61" s="10">
        <v>0</v>
      </c>
      <c r="AH61" s="39">
        <v>0.26101694915254237</v>
      </c>
      <c r="AI61" s="10"/>
      <c r="AJ61" s="10"/>
      <c r="AK61" s="3">
        <f t="shared" si="21"/>
        <v>0</v>
      </c>
      <c r="AL61" s="3">
        <f t="shared" si="22"/>
        <v>0.26101694915254237</v>
      </c>
      <c r="AM61" s="12" t="s">
        <v>342</v>
      </c>
    </row>
    <row r="62" spans="1:39" ht="60" x14ac:dyDescent="0.25">
      <c r="A62" s="5" t="s">
        <v>79</v>
      </c>
      <c r="B62" s="6" t="s">
        <v>80</v>
      </c>
      <c r="C62" s="11" t="s">
        <v>10</v>
      </c>
      <c r="D62" s="11"/>
      <c r="E62" s="11"/>
      <c r="F62" s="11"/>
      <c r="G62" s="11"/>
      <c r="H62" s="2">
        <v>327.73813559322036</v>
      </c>
      <c r="I62" s="2">
        <v>315.22627118644073</v>
      </c>
      <c r="J62" s="2">
        <v>0.40423728813559323</v>
      </c>
      <c r="K62" s="2">
        <v>327.73900000000003</v>
      </c>
      <c r="L62" s="2">
        <v>21.039000000000001</v>
      </c>
      <c r="M62" s="2">
        <v>191.52700000000002</v>
      </c>
      <c r="N62" s="2">
        <v>115.173</v>
      </c>
      <c r="O62" s="2">
        <v>0</v>
      </c>
      <c r="P62" s="2">
        <f>SUM(P63:P74)</f>
        <v>315.22499999999997</v>
      </c>
      <c r="Q62" s="2">
        <f t="shared" ref="Q62:AL62" si="24">SUM(Q63:Q74)</f>
        <v>17.154</v>
      </c>
      <c r="R62" s="2">
        <f t="shared" si="24"/>
        <v>186.06800000000001</v>
      </c>
      <c r="S62" s="2">
        <f t="shared" si="24"/>
        <v>112.003</v>
      </c>
      <c r="T62" s="2">
        <f t="shared" si="24"/>
        <v>0</v>
      </c>
      <c r="U62" s="2">
        <f t="shared" si="24"/>
        <v>327.14406779661022</v>
      </c>
      <c r="V62" s="2">
        <f t="shared" si="24"/>
        <v>327.14406779661022</v>
      </c>
      <c r="W62" s="2">
        <f t="shared" si="24"/>
        <v>265.86016949152548</v>
      </c>
      <c r="X62" s="2">
        <f t="shared" si="24"/>
        <v>265.86016949152548</v>
      </c>
      <c r="Y62" s="2">
        <f t="shared" si="24"/>
        <v>308.26864406779663</v>
      </c>
      <c r="Z62" s="2">
        <f t="shared" si="24"/>
        <v>308.26864406779663</v>
      </c>
      <c r="AA62" s="2">
        <f t="shared" si="24"/>
        <v>0</v>
      </c>
      <c r="AB62" s="2">
        <f t="shared" si="24"/>
        <v>0</v>
      </c>
      <c r="AC62" s="2">
        <f t="shared" si="24"/>
        <v>58.740677966101693</v>
      </c>
      <c r="AD62" s="2">
        <f t="shared" si="24"/>
        <v>0.98050847457627122</v>
      </c>
      <c r="AE62" s="2">
        <f t="shared" si="24"/>
        <v>61.283898305084747</v>
      </c>
      <c r="AF62" s="2">
        <f t="shared" si="24"/>
        <v>5.5800573813559327</v>
      </c>
      <c r="AG62" s="2">
        <f t="shared" si="24"/>
        <v>58.248305084745766</v>
      </c>
      <c r="AH62" s="2">
        <f t="shared" si="24"/>
        <v>42.72542372881356</v>
      </c>
      <c r="AI62" s="2">
        <f t="shared" si="24"/>
        <v>207.61186440677966</v>
      </c>
      <c r="AJ62" s="2">
        <f t="shared" si="24"/>
        <v>265.54322033898308</v>
      </c>
      <c r="AK62" s="2">
        <f t="shared" si="24"/>
        <v>272.42073534745765</v>
      </c>
      <c r="AL62" s="2">
        <f t="shared" si="24"/>
        <v>314.82920992372885</v>
      </c>
      <c r="AM62" s="40"/>
    </row>
    <row r="63" spans="1:39" ht="60" x14ac:dyDescent="0.25">
      <c r="A63" s="17" t="s">
        <v>79</v>
      </c>
      <c r="B63" s="44" t="s">
        <v>81</v>
      </c>
      <c r="C63" s="45" t="s">
        <v>208</v>
      </c>
      <c r="D63" s="45" t="s">
        <v>335</v>
      </c>
      <c r="E63" s="45">
        <v>2016</v>
      </c>
      <c r="F63" s="45">
        <v>2017</v>
      </c>
      <c r="G63" s="45">
        <v>2017</v>
      </c>
      <c r="H63" s="14">
        <v>0.28050847457627121</v>
      </c>
      <c r="I63" s="52">
        <v>0.17796610169491525</v>
      </c>
      <c r="J63" s="14"/>
      <c r="K63" s="51">
        <v>0.28100000000000003</v>
      </c>
      <c r="L63" s="41">
        <v>4.7E-2</v>
      </c>
      <c r="M63" s="52">
        <v>0.23400000000000001</v>
      </c>
      <c r="N63" s="41">
        <v>0</v>
      </c>
      <c r="O63" s="41">
        <v>0</v>
      </c>
      <c r="P63" s="51">
        <f>Q63+R63+S63+T63</f>
        <v>0.17799999999999999</v>
      </c>
      <c r="Q63" s="51">
        <v>4.7E-2</v>
      </c>
      <c r="R63" s="51">
        <v>0.13100000000000001</v>
      </c>
      <c r="S63" s="51">
        <v>0</v>
      </c>
      <c r="T63" s="41">
        <v>0</v>
      </c>
      <c r="U63" s="10">
        <v>0.23389830508474579</v>
      </c>
      <c r="V63" s="10">
        <v>0.23389830508474579</v>
      </c>
      <c r="W63" s="10">
        <v>0</v>
      </c>
      <c r="X63" s="10">
        <v>0</v>
      </c>
      <c r="Y63" s="41">
        <v>0</v>
      </c>
      <c r="Z63" s="3">
        <v>0</v>
      </c>
      <c r="AA63" s="10"/>
      <c r="AB63" s="10"/>
      <c r="AC63" s="10">
        <v>0</v>
      </c>
      <c r="AD63" s="10">
        <f>0.055/1.18</f>
        <v>4.6610169491525424E-2</v>
      </c>
      <c r="AE63" s="10">
        <v>0.23389830508474579</v>
      </c>
      <c r="AF63" s="39">
        <f>0.16086/1.18</f>
        <v>0.13632203389830511</v>
      </c>
      <c r="AG63" s="10"/>
      <c r="AH63" s="10"/>
      <c r="AI63" s="10"/>
      <c r="AJ63" s="10"/>
      <c r="AK63" s="3">
        <f t="shared" si="21"/>
        <v>0.18293220338983052</v>
      </c>
      <c r="AL63" s="3">
        <f t="shared" si="22"/>
        <v>0.18293220338983052</v>
      </c>
      <c r="AM63" s="12" t="s">
        <v>343</v>
      </c>
    </row>
    <row r="64" spans="1:39" ht="60" x14ac:dyDescent="0.25">
      <c r="A64" s="17" t="s">
        <v>79</v>
      </c>
      <c r="B64" s="44" t="s">
        <v>83</v>
      </c>
      <c r="C64" s="45" t="s">
        <v>210</v>
      </c>
      <c r="D64" s="45" t="s">
        <v>335</v>
      </c>
      <c r="E64" s="45">
        <v>2016</v>
      </c>
      <c r="F64" s="45">
        <v>2017</v>
      </c>
      <c r="G64" s="45">
        <v>2017</v>
      </c>
      <c r="H64" s="14">
        <v>0.65</v>
      </c>
      <c r="I64" s="52">
        <v>0.69322033898305091</v>
      </c>
      <c r="J64" s="14">
        <v>0.3</v>
      </c>
      <c r="K64" s="51">
        <v>0.65</v>
      </c>
      <c r="L64" s="41">
        <v>0.151</v>
      </c>
      <c r="M64" s="52">
        <v>0.499</v>
      </c>
      <c r="N64" s="41">
        <v>0</v>
      </c>
      <c r="O64" s="41">
        <v>0</v>
      </c>
      <c r="P64" s="51">
        <f t="shared" ref="P64:P74" si="25">Q64+R64+S64+T64</f>
        <v>0.69300000000000006</v>
      </c>
      <c r="Q64" s="51">
        <v>0.151</v>
      </c>
      <c r="R64" s="51">
        <v>0.54200000000000004</v>
      </c>
      <c r="S64" s="51">
        <v>0</v>
      </c>
      <c r="T64" s="41">
        <v>0</v>
      </c>
      <c r="U64" s="10">
        <v>0.49915254237288137</v>
      </c>
      <c r="V64" s="10">
        <v>0.49915254237288137</v>
      </c>
      <c r="W64" s="10">
        <v>0</v>
      </c>
      <c r="X64" s="10">
        <v>0</v>
      </c>
      <c r="Y64" s="41">
        <v>0</v>
      </c>
      <c r="Z64" s="3">
        <v>0</v>
      </c>
      <c r="AA64" s="10"/>
      <c r="AB64" s="10"/>
      <c r="AC64" s="10">
        <v>0</v>
      </c>
      <c r="AD64" s="10">
        <f>0.179/1.18</f>
        <v>0.15169491525423728</v>
      </c>
      <c r="AE64" s="10">
        <v>0.49915254237288137</v>
      </c>
      <c r="AF64" s="39">
        <f>0.318435/1.18</f>
        <v>0.26986016949152547</v>
      </c>
      <c r="AG64" s="10"/>
      <c r="AH64" s="10"/>
      <c r="AI64" s="10"/>
      <c r="AJ64" s="10"/>
      <c r="AK64" s="3">
        <f t="shared" si="21"/>
        <v>0.42155508474576275</v>
      </c>
      <c r="AL64" s="3">
        <f t="shared" si="22"/>
        <v>0.42155508474576275</v>
      </c>
      <c r="AM64" s="12" t="s">
        <v>343</v>
      </c>
    </row>
    <row r="65" spans="1:39" ht="60" x14ac:dyDescent="0.25">
      <c r="A65" s="17" t="s">
        <v>79</v>
      </c>
      <c r="B65" s="44" t="s">
        <v>87</v>
      </c>
      <c r="C65" s="45" t="s">
        <v>235</v>
      </c>
      <c r="D65" s="45" t="s">
        <v>335</v>
      </c>
      <c r="E65" s="45">
        <v>2016</v>
      </c>
      <c r="F65" s="45">
        <v>2017</v>
      </c>
      <c r="G65" s="45">
        <v>2017</v>
      </c>
      <c r="H65" s="14">
        <v>0.28813559322033899</v>
      </c>
      <c r="I65" s="52">
        <v>0.17203389830508475</v>
      </c>
      <c r="J65" s="14"/>
      <c r="K65" s="51">
        <v>0.28800000000000003</v>
      </c>
      <c r="L65" s="41">
        <v>7.0000000000000007E-2</v>
      </c>
      <c r="M65" s="52">
        <v>0.218</v>
      </c>
      <c r="N65" s="41">
        <v>0</v>
      </c>
      <c r="O65" s="41">
        <v>0</v>
      </c>
      <c r="P65" s="51">
        <f t="shared" si="25"/>
        <v>0.17199999999999999</v>
      </c>
      <c r="Q65" s="51">
        <v>7.0000000000000007E-2</v>
      </c>
      <c r="R65" s="51">
        <v>0.10199999999999999</v>
      </c>
      <c r="S65" s="51">
        <v>0</v>
      </c>
      <c r="T65" s="41">
        <v>0</v>
      </c>
      <c r="U65" s="10">
        <v>0.21779661016949153</v>
      </c>
      <c r="V65" s="10">
        <v>0.21779661016949153</v>
      </c>
      <c r="W65" s="10">
        <v>0</v>
      </c>
      <c r="X65" s="10">
        <v>0</v>
      </c>
      <c r="Y65" s="41">
        <v>0</v>
      </c>
      <c r="Z65" s="3">
        <v>0</v>
      </c>
      <c r="AA65" s="10"/>
      <c r="AB65" s="10"/>
      <c r="AC65" s="10">
        <v>0</v>
      </c>
      <c r="AD65" s="10">
        <f>0.083/1.18</f>
        <v>7.0338983050847459E-2</v>
      </c>
      <c r="AE65" s="10">
        <v>0.21779661016949153</v>
      </c>
      <c r="AF65" s="39">
        <f>0.128722/1.18</f>
        <v>0.10908644067796611</v>
      </c>
      <c r="AG65" s="10"/>
      <c r="AH65" s="10"/>
      <c r="AI65" s="10"/>
      <c r="AJ65" s="10"/>
      <c r="AK65" s="3">
        <f t="shared" si="21"/>
        <v>0.17942542372881357</v>
      </c>
      <c r="AL65" s="3">
        <f t="shared" si="22"/>
        <v>0.17942542372881357</v>
      </c>
      <c r="AM65" s="12" t="s">
        <v>343</v>
      </c>
    </row>
    <row r="66" spans="1:39" ht="60" x14ac:dyDescent="0.25">
      <c r="A66" s="17" t="s">
        <v>79</v>
      </c>
      <c r="B66" s="44" t="s">
        <v>89</v>
      </c>
      <c r="C66" s="45" t="s">
        <v>237</v>
      </c>
      <c r="D66" s="45" t="s">
        <v>335</v>
      </c>
      <c r="E66" s="45">
        <v>2016</v>
      </c>
      <c r="F66" s="45">
        <v>2017</v>
      </c>
      <c r="G66" s="45">
        <v>2017</v>
      </c>
      <c r="H66" s="14">
        <v>0.31525423728813562</v>
      </c>
      <c r="I66" s="52">
        <v>0.21440677966101696</v>
      </c>
      <c r="J66" s="14"/>
      <c r="K66" s="51">
        <v>0.315</v>
      </c>
      <c r="L66" s="41">
        <v>0.10100000000000001</v>
      </c>
      <c r="M66" s="52">
        <v>0.214</v>
      </c>
      <c r="N66" s="41">
        <v>0</v>
      </c>
      <c r="O66" s="41">
        <v>0</v>
      </c>
      <c r="P66" s="51">
        <f t="shared" si="25"/>
        <v>0.21400000000000002</v>
      </c>
      <c r="Q66" s="51">
        <v>0.10100000000000001</v>
      </c>
      <c r="R66" s="51">
        <v>0.113</v>
      </c>
      <c r="S66" s="51">
        <v>0</v>
      </c>
      <c r="T66" s="41">
        <v>0</v>
      </c>
      <c r="U66" s="10">
        <v>0.21440677966101696</v>
      </c>
      <c r="V66" s="10">
        <v>0.21440677966101696</v>
      </c>
      <c r="W66" s="10">
        <v>0</v>
      </c>
      <c r="X66" s="10">
        <v>0</v>
      </c>
      <c r="Y66" s="41">
        <v>0</v>
      </c>
      <c r="Z66" s="3">
        <v>0</v>
      </c>
      <c r="AA66" s="10"/>
      <c r="AB66" s="10"/>
      <c r="AC66" s="10">
        <v>0</v>
      </c>
      <c r="AD66" s="10">
        <f>0.12/1.18</f>
        <v>0.10169491525423729</v>
      </c>
      <c r="AE66" s="10">
        <v>0.21440677966101696</v>
      </c>
      <c r="AF66" s="39">
        <f>0.102818/1.18</f>
        <v>8.713389830508475E-2</v>
      </c>
      <c r="AG66" s="10"/>
      <c r="AH66" s="10"/>
      <c r="AI66" s="10"/>
      <c r="AJ66" s="10"/>
      <c r="AK66" s="3">
        <f t="shared" si="21"/>
        <v>0.18882881355932205</v>
      </c>
      <c r="AL66" s="3">
        <f t="shared" si="22"/>
        <v>0.18882881355932205</v>
      </c>
      <c r="AM66" s="12" t="s">
        <v>343</v>
      </c>
    </row>
    <row r="67" spans="1:39" ht="60" x14ac:dyDescent="0.25">
      <c r="A67" s="17" t="s">
        <v>79</v>
      </c>
      <c r="B67" s="44" t="s">
        <v>91</v>
      </c>
      <c r="C67" s="45" t="s">
        <v>239</v>
      </c>
      <c r="D67" s="45" t="s">
        <v>335</v>
      </c>
      <c r="E67" s="45">
        <v>2016</v>
      </c>
      <c r="F67" s="45">
        <v>2017</v>
      </c>
      <c r="G67" s="45">
        <v>2017</v>
      </c>
      <c r="H67" s="14">
        <v>1.0398305084745765</v>
      </c>
      <c r="I67" s="52">
        <v>0.81440677966101704</v>
      </c>
      <c r="J67" s="14">
        <v>3.4745762711864407E-2</v>
      </c>
      <c r="K67" s="51">
        <v>1.04</v>
      </c>
      <c r="L67" s="41">
        <v>5.6000000000000001E-2</v>
      </c>
      <c r="M67" s="52">
        <v>0.98399999999999999</v>
      </c>
      <c r="N67" s="41">
        <v>0</v>
      </c>
      <c r="O67" s="41">
        <v>0</v>
      </c>
      <c r="P67" s="51">
        <f t="shared" si="25"/>
        <v>0.81400000000000006</v>
      </c>
      <c r="Q67" s="51">
        <v>5.6000000000000001E-2</v>
      </c>
      <c r="R67" s="51">
        <v>0.75800000000000001</v>
      </c>
      <c r="S67" s="51">
        <v>0</v>
      </c>
      <c r="T67" s="41">
        <v>0</v>
      </c>
      <c r="U67" s="10">
        <v>0.98389830508474585</v>
      </c>
      <c r="V67" s="10">
        <v>0.98389830508474585</v>
      </c>
      <c r="W67" s="10">
        <v>0</v>
      </c>
      <c r="X67" s="10">
        <v>0</v>
      </c>
      <c r="Y67" s="41">
        <v>0</v>
      </c>
      <c r="Z67" s="3">
        <v>0</v>
      </c>
      <c r="AA67" s="10"/>
      <c r="AB67" s="10"/>
      <c r="AC67" s="10">
        <v>0</v>
      </c>
      <c r="AD67" s="49">
        <f>0.39/1.18</f>
        <v>0.33050847457627119</v>
      </c>
      <c r="AE67" s="10">
        <v>0.98389830508474585</v>
      </c>
      <c r="AF67" s="39">
        <f>0.593364/1.18</f>
        <v>0.50285084745762709</v>
      </c>
      <c r="AG67" s="10"/>
      <c r="AH67" s="10"/>
      <c r="AI67" s="10"/>
      <c r="AJ67" s="10"/>
      <c r="AK67" s="3">
        <f t="shared" si="21"/>
        <v>0.83335932203389829</v>
      </c>
      <c r="AL67" s="3">
        <f t="shared" si="22"/>
        <v>0.83335932203389829</v>
      </c>
      <c r="AM67" s="12" t="s">
        <v>343</v>
      </c>
    </row>
    <row r="68" spans="1:39" ht="60" x14ac:dyDescent="0.25">
      <c r="A68" s="17" t="s">
        <v>79</v>
      </c>
      <c r="B68" s="44" t="s">
        <v>95</v>
      </c>
      <c r="C68" s="45" t="s">
        <v>285</v>
      </c>
      <c r="D68" s="45" t="s">
        <v>335</v>
      </c>
      <c r="E68" s="45">
        <v>2016</v>
      </c>
      <c r="F68" s="45">
        <v>2017</v>
      </c>
      <c r="G68" s="45">
        <v>2017</v>
      </c>
      <c r="H68" s="14">
        <v>0.89576271186440681</v>
      </c>
      <c r="I68" s="52">
        <v>0.52457627118644068</v>
      </c>
      <c r="J68" s="14">
        <v>3.4745762711864407E-2</v>
      </c>
      <c r="K68" s="51">
        <v>0.89600000000000002</v>
      </c>
      <c r="L68" s="41">
        <v>0.16900000000000001</v>
      </c>
      <c r="M68" s="52">
        <v>0.72699999999999998</v>
      </c>
      <c r="N68" s="41">
        <v>0</v>
      </c>
      <c r="O68" s="41">
        <v>0</v>
      </c>
      <c r="P68" s="51">
        <f t="shared" si="25"/>
        <v>0.52500000000000002</v>
      </c>
      <c r="Q68" s="51">
        <v>0.16900000000000001</v>
      </c>
      <c r="R68" s="51">
        <v>0.35599999999999998</v>
      </c>
      <c r="S68" s="51">
        <v>0</v>
      </c>
      <c r="T68" s="41">
        <v>0</v>
      </c>
      <c r="U68" s="10">
        <v>0.72627118644067801</v>
      </c>
      <c r="V68" s="10">
        <v>0.72627118644067801</v>
      </c>
      <c r="W68" s="10">
        <v>0</v>
      </c>
      <c r="X68" s="10">
        <v>0</v>
      </c>
      <c r="Y68" s="41">
        <v>0</v>
      </c>
      <c r="Z68" s="3">
        <v>0</v>
      </c>
      <c r="AA68" s="10"/>
      <c r="AB68" s="10"/>
      <c r="AC68" s="10">
        <v>0</v>
      </c>
      <c r="AD68" s="10">
        <f>0.201/1.18</f>
        <v>0.17033898305084746</v>
      </c>
      <c r="AE68" s="10">
        <v>0.72627118644067801</v>
      </c>
      <c r="AF68" s="39">
        <f>0.301393/1.18</f>
        <v>0.2554177966101695</v>
      </c>
      <c r="AG68" s="10"/>
      <c r="AH68" s="10"/>
      <c r="AI68" s="10"/>
      <c r="AJ68" s="10"/>
      <c r="AK68" s="3">
        <f t="shared" si="21"/>
        <v>0.42575677966101699</v>
      </c>
      <c r="AL68" s="3">
        <f t="shared" si="22"/>
        <v>0.42575677966101699</v>
      </c>
      <c r="AM68" s="12" t="s">
        <v>343</v>
      </c>
    </row>
    <row r="69" spans="1:39" ht="225" x14ac:dyDescent="0.25">
      <c r="A69" s="17" t="s">
        <v>79</v>
      </c>
      <c r="B69" s="44" t="s">
        <v>103</v>
      </c>
      <c r="C69" s="45" t="s">
        <v>286</v>
      </c>
      <c r="D69" s="45" t="s">
        <v>284</v>
      </c>
      <c r="E69" s="45">
        <v>2015</v>
      </c>
      <c r="F69" s="45">
        <v>2019</v>
      </c>
      <c r="G69" s="53">
        <v>2019</v>
      </c>
      <c r="H69" s="14">
        <v>324.26864406779663</v>
      </c>
      <c r="I69" s="52">
        <v>312.02627118644074</v>
      </c>
      <c r="J69" s="14"/>
      <c r="K69" s="51">
        <v>324.26900000000001</v>
      </c>
      <c r="L69" s="41">
        <v>20.445</v>
      </c>
      <c r="M69" s="41">
        <v>188.65100000000001</v>
      </c>
      <c r="N69" s="41">
        <v>115.173</v>
      </c>
      <c r="O69" s="41">
        <v>0</v>
      </c>
      <c r="P69" s="51">
        <f t="shared" si="25"/>
        <v>312.02600000000001</v>
      </c>
      <c r="Q69" s="51">
        <v>16.524999999999999</v>
      </c>
      <c r="R69" s="51">
        <v>183.49799999999999</v>
      </c>
      <c r="S69" s="51">
        <v>112.003</v>
      </c>
      <c r="T69" s="41">
        <v>0</v>
      </c>
      <c r="U69" s="10">
        <v>324.26864406779663</v>
      </c>
      <c r="V69" s="10">
        <v>324.26864406779663</v>
      </c>
      <c r="W69" s="10">
        <v>265.86016949152548</v>
      </c>
      <c r="X69" s="10">
        <v>265.86016949152548</v>
      </c>
      <c r="Y69" s="41">
        <v>308.26864406779663</v>
      </c>
      <c r="Z69" s="3">
        <v>308.26864406779663</v>
      </c>
      <c r="AA69" s="10"/>
      <c r="AB69" s="10"/>
      <c r="AC69" s="10">
        <v>58.740677966101693</v>
      </c>
      <c r="AD69" s="10">
        <v>0</v>
      </c>
      <c r="AE69" s="10">
        <v>58.408474576271189</v>
      </c>
      <c r="AF69" s="39">
        <f>4.435229/1.18</f>
        <v>3.7586686440677965</v>
      </c>
      <c r="AG69" s="10">
        <v>58.248305084745766</v>
      </c>
      <c r="AH69" s="39">
        <v>42.72542372881356</v>
      </c>
      <c r="AI69" s="10">
        <v>207.61186440677966</v>
      </c>
      <c r="AJ69" s="10">
        <v>265.54322033898308</v>
      </c>
      <c r="AK69" s="3">
        <f t="shared" si="21"/>
        <v>269.61883813559325</v>
      </c>
      <c r="AL69" s="3">
        <f t="shared" si="22"/>
        <v>312.02731271186445</v>
      </c>
      <c r="AM69" s="12" t="s">
        <v>338</v>
      </c>
    </row>
    <row r="70" spans="1:39" ht="45" x14ac:dyDescent="0.25">
      <c r="A70" s="17" t="s">
        <v>79</v>
      </c>
      <c r="B70" s="44" t="s">
        <v>85</v>
      </c>
      <c r="C70" s="45" t="s">
        <v>315</v>
      </c>
      <c r="D70" s="45" t="s">
        <v>335</v>
      </c>
      <c r="E70" s="45">
        <v>2016</v>
      </c>
      <c r="F70" s="45"/>
      <c r="G70" s="45">
        <v>2017</v>
      </c>
      <c r="H70" s="48">
        <v>0</v>
      </c>
      <c r="I70" s="52">
        <v>0.18050847457627123</v>
      </c>
      <c r="J70" s="14"/>
      <c r="K70" s="51"/>
      <c r="L70" s="41"/>
      <c r="M70" s="41"/>
      <c r="N70" s="41"/>
      <c r="O70" s="41"/>
      <c r="P70" s="51">
        <f t="shared" si="25"/>
        <v>0.18099999999999999</v>
      </c>
      <c r="Q70" s="51">
        <v>0</v>
      </c>
      <c r="R70" s="51">
        <v>0.18099999999999999</v>
      </c>
      <c r="S70" s="51">
        <v>0</v>
      </c>
      <c r="T70" s="41">
        <v>0</v>
      </c>
      <c r="U70" s="10">
        <v>0</v>
      </c>
      <c r="V70" s="10">
        <v>0</v>
      </c>
      <c r="W70" s="10">
        <v>0</v>
      </c>
      <c r="X70" s="10">
        <v>0</v>
      </c>
      <c r="Y70" s="41">
        <v>0</v>
      </c>
      <c r="Z70" s="3">
        <v>0</v>
      </c>
      <c r="AA70" s="10"/>
      <c r="AB70" s="10"/>
      <c r="AC70" s="10">
        <v>0</v>
      </c>
      <c r="AD70" s="10">
        <f>0.049/1.18</f>
        <v>4.1525423728813564E-2</v>
      </c>
      <c r="AE70" s="10">
        <v>0</v>
      </c>
      <c r="AF70" s="39">
        <f>0.164381/1.18</f>
        <v>0.13930593220338983</v>
      </c>
      <c r="AG70" s="10">
        <v>0</v>
      </c>
      <c r="AH70" s="10"/>
      <c r="AI70" s="10">
        <v>0</v>
      </c>
      <c r="AJ70" s="10"/>
      <c r="AK70" s="3">
        <f t="shared" si="21"/>
        <v>0.1808313559322034</v>
      </c>
      <c r="AL70" s="3">
        <f t="shared" si="22"/>
        <v>0.1808313559322034</v>
      </c>
      <c r="AM70" s="12" t="s">
        <v>344</v>
      </c>
    </row>
    <row r="71" spans="1:39" ht="45" x14ac:dyDescent="0.25">
      <c r="A71" s="17" t="s">
        <v>79</v>
      </c>
      <c r="B71" s="42" t="s">
        <v>310</v>
      </c>
      <c r="C71" s="55" t="s">
        <v>316</v>
      </c>
      <c r="D71" s="45" t="s">
        <v>335</v>
      </c>
      <c r="E71" s="45">
        <v>2016</v>
      </c>
      <c r="F71" s="45"/>
      <c r="G71" s="45">
        <v>2017</v>
      </c>
      <c r="H71" s="48">
        <v>0</v>
      </c>
      <c r="I71" s="52">
        <v>4.2372881355932208E-2</v>
      </c>
      <c r="J71" s="14"/>
      <c r="K71" s="51"/>
      <c r="L71" s="41"/>
      <c r="M71" s="41"/>
      <c r="N71" s="41"/>
      <c r="O71" s="41"/>
      <c r="P71" s="51">
        <f t="shared" si="25"/>
        <v>4.2000000000000003E-2</v>
      </c>
      <c r="Q71" s="51">
        <v>0</v>
      </c>
      <c r="R71" s="51">
        <v>4.2000000000000003E-2</v>
      </c>
      <c r="S71" s="51">
        <v>0</v>
      </c>
      <c r="T71" s="41">
        <v>0</v>
      </c>
      <c r="U71" s="10">
        <v>0</v>
      </c>
      <c r="V71" s="10">
        <v>0</v>
      </c>
      <c r="W71" s="10">
        <v>0</v>
      </c>
      <c r="X71" s="10">
        <v>0</v>
      </c>
      <c r="Y71" s="41">
        <v>0</v>
      </c>
      <c r="Z71" s="3">
        <v>0</v>
      </c>
      <c r="AA71" s="10"/>
      <c r="AB71" s="10"/>
      <c r="AC71" s="10"/>
      <c r="AD71" s="10"/>
      <c r="AE71" s="10">
        <v>0</v>
      </c>
      <c r="AF71" s="39">
        <f>0.050218/1.18</f>
        <v>4.2557627118644067E-2</v>
      </c>
      <c r="AG71" s="10"/>
      <c r="AH71" s="10"/>
      <c r="AI71" s="10"/>
      <c r="AJ71" s="10"/>
      <c r="AK71" s="3">
        <f t="shared" si="21"/>
        <v>4.2557627118644067E-2</v>
      </c>
      <c r="AL71" s="3">
        <f t="shared" si="22"/>
        <v>4.2557627118644067E-2</v>
      </c>
      <c r="AM71" s="12" t="s">
        <v>347</v>
      </c>
    </row>
    <row r="72" spans="1:39" ht="45" x14ac:dyDescent="0.25">
      <c r="A72" s="17" t="s">
        <v>79</v>
      </c>
      <c r="B72" s="42" t="s">
        <v>97</v>
      </c>
      <c r="C72" s="55" t="s">
        <v>317</v>
      </c>
      <c r="D72" s="45" t="s">
        <v>335</v>
      </c>
      <c r="E72" s="45">
        <v>2016</v>
      </c>
      <c r="F72" s="45"/>
      <c r="G72" s="45">
        <v>2017</v>
      </c>
      <c r="H72" s="48">
        <v>0</v>
      </c>
      <c r="I72" s="52">
        <v>0.1864406779661017</v>
      </c>
      <c r="J72" s="14"/>
      <c r="K72" s="51"/>
      <c r="L72" s="41"/>
      <c r="M72" s="41"/>
      <c r="N72" s="41"/>
      <c r="O72" s="41"/>
      <c r="P72" s="51">
        <f t="shared" si="25"/>
        <v>0.186</v>
      </c>
      <c r="Q72" s="51">
        <v>0</v>
      </c>
      <c r="R72" s="51">
        <v>0.186</v>
      </c>
      <c r="S72" s="51">
        <v>0</v>
      </c>
      <c r="T72" s="41">
        <v>0</v>
      </c>
      <c r="U72" s="10">
        <v>0</v>
      </c>
      <c r="V72" s="10">
        <v>0</v>
      </c>
      <c r="W72" s="10">
        <v>0</v>
      </c>
      <c r="X72" s="10">
        <v>0</v>
      </c>
      <c r="Y72" s="41">
        <v>0</v>
      </c>
      <c r="Z72" s="3">
        <v>0</v>
      </c>
      <c r="AA72" s="10"/>
      <c r="AB72" s="10"/>
      <c r="AC72" s="10">
        <v>0</v>
      </c>
      <c r="AD72" s="10">
        <f>0.037/1.18</f>
        <v>3.1355932203389829E-2</v>
      </c>
      <c r="AE72" s="10">
        <v>0</v>
      </c>
      <c r="AF72" s="39">
        <f>0.183593/1.18</f>
        <v>0.15558728813559322</v>
      </c>
      <c r="AG72" s="10"/>
      <c r="AH72" s="10"/>
      <c r="AI72" s="10"/>
      <c r="AJ72" s="10"/>
      <c r="AK72" s="3">
        <f t="shared" si="21"/>
        <v>0.18694322033898306</v>
      </c>
      <c r="AL72" s="3">
        <f t="shared" si="22"/>
        <v>0.18694322033898306</v>
      </c>
      <c r="AM72" s="12" t="s">
        <v>344</v>
      </c>
    </row>
    <row r="73" spans="1:39" ht="45" x14ac:dyDescent="0.25">
      <c r="A73" s="17" t="s">
        <v>79</v>
      </c>
      <c r="B73" s="44" t="s">
        <v>99</v>
      </c>
      <c r="C73" s="55" t="s">
        <v>318</v>
      </c>
      <c r="D73" s="45" t="s">
        <v>335</v>
      </c>
      <c r="E73" s="45">
        <v>2016</v>
      </c>
      <c r="F73" s="45"/>
      <c r="G73" s="45">
        <v>2017</v>
      </c>
      <c r="H73" s="48">
        <v>0</v>
      </c>
      <c r="I73" s="52">
        <v>0.17203389830508475</v>
      </c>
      <c r="J73" s="14">
        <v>3.4745762711864407E-2</v>
      </c>
      <c r="K73" s="51"/>
      <c r="L73" s="41"/>
      <c r="M73" s="41"/>
      <c r="N73" s="41"/>
      <c r="O73" s="41"/>
      <c r="P73" s="51">
        <f t="shared" si="25"/>
        <v>0.17200000000000001</v>
      </c>
      <c r="Q73" s="51">
        <v>3.5000000000000003E-2</v>
      </c>
      <c r="R73" s="51">
        <v>0.13700000000000001</v>
      </c>
      <c r="S73" s="51">
        <v>0</v>
      </c>
      <c r="T73" s="41">
        <v>0</v>
      </c>
      <c r="U73" s="10">
        <v>0</v>
      </c>
      <c r="V73" s="10">
        <v>0</v>
      </c>
      <c r="W73" s="10">
        <v>0</v>
      </c>
      <c r="X73" s="10">
        <v>0</v>
      </c>
      <c r="Y73" s="41">
        <v>0</v>
      </c>
      <c r="Z73" s="3">
        <v>0</v>
      </c>
      <c r="AA73" s="10"/>
      <c r="AB73" s="10"/>
      <c r="AC73" s="10">
        <v>0</v>
      </c>
      <c r="AD73" s="10">
        <f>0.017/1.18</f>
        <v>1.4406779661016951E-2</v>
      </c>
      <c r="AE73" s="10">
        <v>0</v>
      </c>
      <c r="AF73" s="39">
        <f>0.14545471/1.18</f>
        <v>0.12326670338983051</v>
      </c>
      <c r="AG73" s="10"/>
      <c r="AH73" s="10"/>
      <c r="AI73" s="10"/>
      <c r="AJ73" s="10"/>
      <c r="AK73" s="3">
        <f t="shared" si="21"/>
        <v>0.13767348305084745</v>
      </c>
      <c r="AL73" s="3">
        <f t="shared" si="22"/>
        <v>0.13767348305084745</v>
      </c>
      <c r="AM73" s="12" t="s">
        <v>344</v>
      </c>
    </row>
    <row r="74" spans="1:39" ht="45" x14ac:dyDescent="0.25">
      <c r="A74" s="17" t="s">
        <v>79</v>
      </c>
      <c r="B74" s="44" t="s">
        <v>101</v>
      </c>
      <c r="C74" s="55" t="s">
        <v>319</v>
      </c>
      <c r="D74" s="45" t="s">
        <v>335</v>
      </c>
      <c r="E74" s="45">
        <v>2016</v>
      </c>
      <c r="F74" s="45"/>
      <c r="G74" s="45">
        <v>2017</v>
      </c>
      <c r="H74" s="48">
        <v>0</v>
      </c>
      <c r="I74" s="52">
        <v>2.2033898305084745E-2</v>
      </c>
      <c r="J74" s="14"/>
      <c r="K74" s="51"/>
      <c r="L74" s="41"/>
      <c r="M74" s="41"/>
      <c r="N74" s="41"/>
      <c r="O74" s="41"/>
      <c r="P74" s="51">
        <f t="shared" si="25"/>
        <v>2.1999999999999999E-2</v>
      </c>
      <c r="Q74" s="51">
        <v>0</v>
      </c>
      <c r="R74" s="51">
        <v>2.1999999999999999E-2</v>
      </c>
      <c r="S74" s="51">
        <v>0</v>
      </c>
      <c r="T74" s="41">
        <v>0</v>
      </c>
      <c r="U74" s="10">
        <v>0</v>
      </c>
      <c r="V74" s="10">
        <v>0</v>
      </c>
      <c r="W74" s="10">
        <v>0</v>
      </c>
      <c r="X74" s="10">
        <v>0</v>
      </c>
      <c r="Y74" s="41">
        <v>0</v>
      </c>
      <c r="Z74" s="3">
        <v>0</v>
      </c>
      <c r="AA74" s="10"/>
      <c r="AB74" s="10"/>
      <c r="AC74" s="10">
        <v>0</v>
      </c>
      <c r="AD74" s="10">
        <f>0.026/1.18</f>
        <v>2.2033898305084745E-2</v>
      </c>
      <c r="AE74" s="10"/>
      <c r="AF74" s="39"/>
      <c r="AG74" s="10"/>
      <c r="AH74" s="10"/>
      <c r="AI74" s="10"/>
      <c r="AJ74" s="10"/>
      <c r="AK74" s="3">
        <f t="shared" si="21"/>
        <v>2.2033898305084745E-2</v>
      </c>
      <c r="AL74" s="3">
        <f t="shared" si="22"/>
        <v>2.2033898305084745E-2</v>
      </c>
      <c r="AM74" s="12" t="s">
        <v>344</v>
      </c>
    </row>
    <row r="75" spans="1:39" ht="30" x14ac:dyDescent="0.25">
      <c r="A75" s="5" t="s">
        <v>105</v>
      </c>
      <c r="B75" s="6" t="s">
        <v>106</v>
      </c>
      <c r="C75" s="11" t="s">
        <v>10</v>
      </c>
      <c r="D75" s="11"/>
      <c r="E75" s="11"/>
      <c r="F75" s="11"/>
      <c r="G75" s="11"/>
      <c r="H75" s="2">
        <v>149.12796610169494</v>
      </c>
      <c r="I75" s="2">
        <v>286.46237288135592</v>
      </c>
      <c r="J75" s="2">
        <v>135.96016949152542</v>
      </c>
      <c r="K75" s="2">
        <v>149.12861016949157</v>
      </c>
      <c r="L75" s="2">
        <v>24.048305084745767</v>
      </c>
      <c r="M75" s="2">
        <v>67.150355932203382</v>
      </c>
      <c r="N75" s="2">
        <v>57.414694915254245</v>
      </c>
      <c r="O75" s="2">
        <v>0.51525423728813557</v>
      </c>
      <c r="P75" s="2">
        <f>P76+P82+P112+P120+P129</f>
        <v>233.04613559322038</v>
      </c>
      <c r="Q75" s="2">
        <f t="shared" ref="Q75:AL75" si="26">Q76+Q82+Q112+Q120+Q129</f>
        <v>0</v>
      </c>
      <c r="R75" s="2">
        <f t="shared" si="26"/>
        <v>140.47811864406779</v>
      </c>
      <c r="S75" s="2">
        <f t="shared" si="26"/>
        <v>91.537508474576271</v>
      </c>
      <c r="T75" s="2">
        <f t="shared" si="26"/>
        <v>1.0305084745762711</v>
      </c>
      <c r="U75" s="2">
        <f t="shared" si="26"/>
        <v>175.48305084745772</v>
      </c>
      <c r="V75" s="2">
        <f t="shared" si="26"/>
        <v>175.48305084745772</v>
      </c>
      <c r="W75" s="2">
        <f t="shared" si="26"/>
        <v>154.02796610169497</v>
      </c>
      <c r="X75" s="2">
        <f t="shared" si="26"/>
        <v>154.02796610169497</v>
      </c>
      <c r="Y75" s="2">
        <f t="shared" si="26"/>
        <v>37.706949152542379</v>
      </c>
      <c r="Z75" s="2">
        <f t="shared" si="26"/>
        <v>37.706949152542379</v>
      </c>
      <c r="AA75" s="2">
        <f t="shared" si="26"/>
        <v>0</v>
      </c>
      <c r="AB75" s="2">
        <f t="shared" si="26"/>
        <v>0</v>
      </c>
      <c r="AC75" s="2">
        <f t="shared" si="26"/>
        <v>30.062711864406783</v>
      </c>
      <c r="AD75" s="2">
        <f t="shared" si="26"/>
        <v>43.83050847457627</v>
      </c>
      <c r="AE75" s="2">
        <f t="shared" si="26"/>
        <v>21.455084745762711</v>
      </c>
      <c r="AF75" s="2">
        <f t="shared" si="26"/>
        <v>15.179420338983052</v>
      </c>
      <c r="AG75" s="2">
        <f t="shared" si="26"/>
        <v>61.539830508474587</v>
      </c>
      <c r="AH75" s="2">
        <f t="shared" si="26"/>
        <v>17.267966101694913</v>
      </c>
      <c r="AI75" s="2">
        <f t="shared" si="26"/>
        <v>92.488135593220349</v>
      </c>
      <c r="AJ75" s="2">
        <f>AJ76+AJ112+AJ120+AJ129</f>
        <v>10.219491525423729</v>
      </c>
      <c r="AK75" s="2">
        <f>AK76+AK112+AK120+AK129</f>
        <v>142.68196271186443</v>
      </c>
      <c r="AL75" s="2">
        <f>AL76+AL112+AL120+AL129</f>
        <v>81.268572881355936</v>
      </c>
      <c r="AM75" s="40"/>
    </row>
    <row r="76" spans="1:39" ht="60" x14ac:dyDescent="0.25">
      <c r="A76" s="5" t="s">
        <v>107</v>
      </c>
      <c r="B76" s="6" t="s">
        <v>108</v>
      </c>
      <c r="C76" s="11" t="s">
        <v>10</v>
      </c>
      <c r="D76" s="11"/>
      <c r="E76" s="11"/>
      <c r="F76" s="11"/>
      <c r="G76" s="11"/>
      <c r="H76" s="2">
        <v>133.63050847457629</v>
      </c>
      <c r="I76" s="2">
        <v>270.88271186440676</v>
      </c>
      <c r="J76" s="2">
        <v>135.96016949152542</v>
      </c>
      <c r="K76" s="2">
        <v>133.63115254237292</v>
      </c>
      <c r="L76" s="2">
        <v>22.741525423728817</v>
      </c>
      <c r="M76" s="2">
        <v>52.959677966101694</v>
      </c>
      <c r="N76" s="2">
        <v>57.414694915254245</v>
      </c>
      <c r="O76" s="2">
        <v>0.51525423728813557</v>
      </c>
      <c r="P76" s="2">
        <f>P77+P82</f>
        <v>214.71981355932206</v>
      </c>
      <c r="Q76" s="2">
        <f t="shared" ref="Q76:AL76" si="27">Q77+Q82</f>
        <v>0</v>
      </c>
      <c r="R76" s="2">
        <f t="shared" si="27"/>
        <v>131.88530508474577</v>
      </c>
      <c r="S76" s="2">
        <f t="shared" si="27"/>
        <v>82.319254237288135</v>
      </c>
      <c r="T76" s="2">
        <f t="shared" si="27"/>
        <v>0.51525423728813557</v>
      </c>
      <c r="U76" s="2">
        <f t="shared" si="27"/>
        <v>90.855084745762753</v>
      </c>
      <c r="V76" s="2">
        <f t="shared" si="27"/>
        <v>90.855084745762753</v>
      </c>
      <c r="W76" s="2">
        <f t="shared" si="27"/>
        <v>69.654237288135619</v>
      </c>
      <c r="X76" s="2">
        <f t="shared" si="27"/>
        <v>69.654237288135619</v>
      </c>
      <c r="Y76" s="2">
        <f t="shared" si="27"/>
        <v>21.905254237288137</v>
      </c>
      <c r="Z76" s="2">
        <f t="shared" si="27"/>
        <v>21.905254237288137</v>
      </c>
      <c r="AA76" s="2">
        <f t="shared" si="27"/>
        <v>0</v>
      </c>
      <c r="AB76" s="2">
        <f t="shared" si="27"/>
        <v>0</v>
      </c>
      <c r="AC76" s="2">
        <f t="shared" si="27"/>
        <v>15.031355932203391</v>
      </c>
      <c r="AD76" s="2">
        <f t="shared" si="27"/>
        <v>43.245762711864408</v>
      </c>
      <c r="AE76" s="2">
        <f t="shared" si="27"/>
        <v>21.20084745762712</v>
      </c>
      <c r="AF76" s="2">
        <f t="shared" si="27"/>
        <v>13.60569152542373</v>
      </c>
      <c r="AG76" s="2">
        <f t="shared" si="27"/>
        <v>29.944067796610174</v>
      </c>
      <c r="AH76" s="2">
        <f t="shared" si="27"/>
        <v>11.685762711864406</v>
      </c>
      <c r="AI76" s="2">
        <f t="shared" si="27"/>
        <v>39.710169491525427</v>
      </c>
      <c r="AJ76" s="2">
        <f t="shared" si="27"/>
        <v>10.219491525423729</v>
      </c>
      <c r="AK76" s="2">
        <f t="shared" si="27"/>
        <v>126.50569152542374</v>
      </c>
      <c r="AL76" s="2">
        <f t="shared" si="27"/>
        <v>78.756708474576271</v>
      </c>
      <c r="AM76" s="40"/>
    </row>
    <row r="77" spans="1:39" ht="30" x14ac:dyDescent="0.25">
      <c r="A77" s="5" t="s">
        <v>109</v>
      </c>
      <c r="B77" s="6" t="s">
        <v>110</v>
      </c>
      <c r="C77" s="11" t="s">
        <v>10</v>
      </c>
      <c r="D77" s="11"/>
      <c r="E77" s="11"/>
      <c r="F77" s="11"/>
      <c r="G77" s="11"/>
      <c r="H77" s="2">
        <v>64.5</v>
      </c>
      <c r="I77" s="2">
        <v>199.42898305084745</v>
      </c>
      <c r="J77" s="2">
        <v>135.59322033898306</v>
      </c>
      <c r="K77" s="2">
        <v>64.500644067796614</v>
      </c>
      <c r="L77" s="2">
        <v>0</v>
      </c>
      <c r="M77" s="2">
        <v>26.737644067796609</v>
      </c>
      <c r="N77" s="2">
        <v>37.763000000000005</v>
      </c>
      <c r="O77" s="2">
        <v>0</v>
      </c>
      <c r="P77" s="2">
        <f>SUM(P78:P81)</f>
        <v>198.90530508474578</v>
      </c>
      <c r="Q77" s="2">
        <f t="shared" ref="Q77:AL77" si="28">SUM(Q78:Q81)</f>
        <v>0</v>
      </c>
      <c r="R77" s="2">
        <f t="shared" si="28"/>
        <v>125.80430508474578</v>
      </c>
      <c r="S77" s="2">
        <f t="shared" si="28"/>
        <v>73.100999999999999</v>
      </c>
      <c r="T77" s="2">
        <f t="shared" si="28"/>
        <v>0</v>
      </c>
      <c r="U77" s="2">
        <f t="shared" si="28"/>
        <v>21.724576271186443</v>
      </c>
      <c r="V77" s="2">
        <f t="shared" si="28"/>
        <v>21.724576271186443</v>
      </c>
      <c r="W77" s="2">
        <f t="shared" si="28"/>
        <v>0.5237288135593221</v>
      </c>
      <c r="X77" s="2">
        <f t="shared" si="28"/>
        <v>0.5237288135593221</v>
      </c>
      <c r="Y77" s="2">
        <f t="shared" si="28"/>
        <v>7.6823728813559322</v>
      </c>
      <c r="Z77" s="2">
        <f t="shared" si="28"/>
        <v>7.6823728813559322</v>
      </c>
      <c r="AA77" s="2">
        <f t="shared" si="28"/>
        <v>0</v>
      </c>
      <c r="AB77" s="2">
        <f t="shared" si="28"/>
        <v>0</v>
      </c>
      <c r="AC77" s="2">
        <f t="shared" si="28"/>
        <v>0</v>
      </c>
      <c r="AD77" s="2">
        <f t="shared" si="28"/>
        <v>42.772881355932206</v>
      </c>
      <c r="AE77" s="2">
        <f t="shared" si="28"/>
        <v>21.20084745762712</v>
      </c>
      <c r="AF77" s="2">
        <f t="shared" si="28"/>
        <v>12.853149152542374</v>
      </c>
      <c r="AG77" s="2">
        <f t="shared" si="28"/>
        <v>0.5237288135593221</v>
      </c>
      <c r="AH77" s="2">
        <f t="shared" si="28"/>
        <v>7.6823728813559322</v>
      </c>
      <c r="AI77" s="2">
        <f t="shared" si="28"/>
        <v>0</v>
      </c>
      <c r="AJ77" s="2">
        <f t="shared" si="28"/>
        <v>0</v>
      </c>
      <c r="AK77" s="2">
        <f t="shared" si="28"/>
        <v>56.149759322033901</v>
      </c>
      <c r="AL77" s="2">
        <f t="shared" si="28"/>
        <v>63.308403389830502</v>
      </c>
      <c r="AM77" s="40"/>
    </row>
    <row r="78" spans="1:39" ht="409.5" x14ac:dyDescent="0.25">
      <c r="A78" s="17" t="s">
        <v>109</v>
      </c>
      <c r="B78" s="44" t="s">
        <v>111</v>
      </c>
      <c r="C78" s="45" t="s">
        <v>82</v>
      </c>
      <c r="D78" s="45" t="s">
        <v>284</v>
      </c>
      <c r="E78" s="45">
        <v>2013</v>
      </c>
      <c r="F78" s="45">
        <v>2017</v>
      </c>
      <c r="G78" s="53">
        <v>2018</v>
      </c>
      <c r="H78" s="14">
        <v>46.211864406779661</v>
      </c>
      <c r="I78" s="52">
        <v>181.11356779661017</v>
      </c>
      <c r="J78" s="14">
        <v>135.59322033898306</v>
      </c>
      <c r="K78" s="39">
        <v>46.212000000000003</v>
      </c>
      <c r="L78" s="51">
        <v>0</v>
      </c>
      <c r="M78" s="51">
        <v>8.7189999999999994</v>
      </c>
      <c r="N78" s="51">
        <v>37.493000000000002</v>
      </c>
      <c r="O78" s="41">
        <v>0</v>
      </c>
      <c r="P78" s="51">
        <f>Q78+R78+S78+T78</f>
        <v>181.114</v>
      </c>
      <c r="Q78" s="51">
        <v>0</v>
      </c>
      <c r="R78" s="51">
        <v>108.01300000000001</v>
      </c>
      <c r="S78" s="51">
        <v>73.100999999999999</v>
      </c>
      <c r="T78" s="41">
        <v>0</v>
      </c>
      <c r="U78" s="10">
        <v>8.7186440677966104</v>
      </c>
      <c r="V78" s="10">
        <v>8.7186440677966104</v>
      </c>
      <c r="W78" s="10">
        <v>0</v>
      </c>
      <c r="X78" s="10">
        <v>0</v>
      </c>
      <c r="Y78" s="41">
        <v>7.2118728813559319</v>
      </c>
      <c r="Z78" s="3">
        <v>7.2118728813559319</v>
      </c>
      <c r="AA78" s="10"/>
      <c r="AB78" s="39"/>
      <c r="AC78" s="10">
        <v>0</v>
      </c>
      <c r="AD78" s="10">
        <f>44.239/1.18</f>
        <v>37.490677966101693</v>
      </c>
      <c r="AE78" s="10">
        <v>8.7186440677966104</v>
      </c>
      <c r="AF78" s="39">
        <f>0.962242/1.18</f>
        <v>0.81545932203389837</v>
      </c>
      <c r="AG78" s="10">
        <v>0</v>
      </c>
      <c r="AH78" s="39">
        <v>7.2118728813559319</v>
      </c>
      <c r="AI78" s="10"/>
      <c r="AJ78" s="10"/>
      <c r="AK78" s="3">
        <f t="shared" ref="AK78:AK111" si="29">AD78+AF78+AG78+AI78</f>
        <v>38.306137288135588</v>
      </c>
      <c r="AL78" s="3">
        <f t="shared" ref="AL78:AL111" si="30">AD78+AF78+AH78+AJ78</f>
        <v>45.518010169491518</v>
      </c>
      <c r="AM78" s="12" t="s">
        <v>345</v>
      </c>
    </row>
    <row r="79" spans="1:39" ht="375" x14ac:dyDescent="0.25">
      <c r="A79" s="17" t="s">
        <v>109</v>
      </c>
      <c r="B79" s="44" t="s">
        <v>113</v>
      </c>
      <c r="C79" s="45" t="s">
        <v>84</v>
      </c>
      <c r="D79" s="45" t="s">
        <v>284</v>
      </c>
      <c r="E79" s="45">
        <v>2016</v>
      </c>
      <c r="F79" s="45">
        <v>2017</v>
      </c>
      <c r="G79" s="53">
        <v>2018</v>
      </c>
      <c r="H79" s="14">
        <v>0.5898305084745763</v>
      </c>
      <c r="I79" s="52">
        <v>0.49846610169491529</v>
      </c>
      <c r="J79" s="14"/>
      <c r="K79" s="39">
        <v>0.5898305084745763</v>
      </c>
      <c r="L79" s="10">
        <v>0</v>
      </c>
      <c r="M79" s="52">
        <v>0.5898305084745763</v>
      </c>
      <c r="N79" s="41">
        <v>0</v>
      </c>
      <c r="O79" s="10">
        <v>0</v>
      </c>
      <c r="P79" s="51">
        <f>Q79+R79+S79+T79</f>
        <v>0.49830508474576268</v>
      </c>
      <c r="Q79" s="51">
        <v>0</v>
      </c>
      <c r="R79" s="52">
        <v>0.49830508474576268</v>
      </c>
      <c r="S79" s="51">
        <v>0</v>
      </c>
      <c r="T79" s="41">
        <v>0</v>
      </c>
      <c r="U79" s="10">
        <v>0.58728813559322035</v>
      </c>
      <c r="V79" s="10">
        <v>0.58728813559322035</v>
      </c>
      <c r="W79" s="10">
        <v>0</v>
      </c>
      <c r="X79" s="10">
        <v>0</v>
      </c>
      <c r="Y79" s="41">
        <v>0.47049999999999997</v>
      </c>
      <c r="Z79" s="3">
        <v>0.47049999999999997</v>
      </c>
      <c r="AA79" s="10"/>
      <c r="AB79" s="10"/>
      <c r="AC79" s="10">
        <v>0</v>
      </c>
      <c r="AD79" s="10">
        <f>0.003/1.18</f>
        <v>2.5423728813559325E-3</v>
      </c>
      <c r="AE79" s="10">
        <v>0.58728813559322035</v>
      </c>
      <c r="AF79" s="39">
        <f>0.029474/1.18</f>
        <v>2.4977966101694917E-2</v>
      </c>
      <c r="AG79" s="10">
        <v>0</v>
      </c>
      <c r="AH79" s="39">
        <v>0.47049999999999997</v>
      </c>
      <c r="AI79" s="10"/>
      <c r="AJ79" s="10"/>
      <c r="AK79" s="3">
        <f t="shared" si="29"/>
        <v>2.7520338983050851E-2</v>
      </c>
      <c r="AL79" s="3">
        <f t="shared" si="30"/>
        <v>0.49802033898305081</v>
      </c>
      <c r="AM79" s="12" t="s">
        <v>346</v>
      </c>
    </row>
    <row r="80" spans="1:39" ht="105" x14ac:dyDescent="0.25">
      <c r="A80" s="17" t="s">
        <v>109</v>
      </c>
      <c r="B80" s="44" t="s">
        <v>115</v>
      </c>
      <c r="C80" s="45" t="s">
        <v>86</v>
      </c>
      <c r="D80" s="45" t="s">
        <v>333</v>
      </c>
      <c r="E80" s="45">
        <v>2018</v>
      </c>
      <c r="F80" s="45">
        <v>2018</v>
      </c>
      <c r="G80" s="53">
        <v>2019</v>
      </c>
      <c r="H80" s="14">
        <v>0.5237288135593221</v>
      </c>
      <c r="I80" s="52">
        <v>0.5237288135593221</v>
      </c>
      <c r="J80" s="54"/>
      <c r="K80" s="39">
        <v>0.52423728813559323</v>
      </c>
      <c r="L80" s="10">
        <v>0</v>
      </c>
      <c r="M80" s="41">
        <v>0.25423728813559321</v>
      </c>
      <c r="N80" s="52">
        <v>0.27</v>
      </c>
      <c r="O80" s="10">
        <v>0</v>
      </c>
      <c r="P80" s="39"/>
      <c r="Q80" s="10"/>
      <c r="R80" s="10"/>
      <c r="S80" s="14"/>
      <c r="T80" s="10"/>
      <c r="U80" s="10">
        <v>0.5237288135593221</v>
      </c>
      <c r="V80" s="10">
        <v>0.5237288135593221</v>
      </c>
      <c r="W80" s="10">
        <v>0.5237288135593221</v>
      </c>
      <c r="X80" s="10">
        <v>0.5237288135593221</v>
      </c>
      <c r="Y80" s="41"/>
      <c r="Z80" s="3"/>
      <c r="AA80" s="10"/>
      <c r="AB80" s="10"/>
      <c r="AC80" s="10"/>
      <c r="AD80" s="10"/>
      <c r="AE80" s="10"/>
      <c r="AF80" s="10"/>
      <c r="AG80" s="10">
        <v>0.5237288135593221</v>
      </c>
      <c r="AH80" s="39">
        <v>0</v>
      </c>
      <c r="AI80" s="10">
        <v>0</v>
      </c>
      <c r="AJ80" s="10"/>
      <c r="AK80" s="3">
        <f t="shared" si="29"/>
        <v>0.5237288135593221</v>
      </c>
      <c r="AL80" s="3">
        <f t="shared" si="30"/>
        <v>0</v>
      </c>
      <c r="AM80" s="12" t="s">
        <v>357</v>
      </c>
    </row>
    <row r="81" spans="1:40" ht="45" x14ac:dyDescent="0.25">
      <c r="A81" s="17" t="s">
        <v>109</v>
      </c>
      <c r="B81" s="44" t="s">
        <v>117</v>
      </c>
      <c r="C81" s="45" t="s">
        <v>88</v>
      </c>
      <c r="D81" s="45" t="s">
        <v>335</v>
      </c>
      <c r="E81" s="45">
        <v>2016</v>
      </c>
      <c r="F81" s="45">
        <v>2017</v>
      </c>
      <c r="G81" s="45">
        <v>2017</v>
      </c>
      <c r="H81" s="14">
        <v>17.174576271186439</v>
      </c>
      <c r="I81" s="52">
        <v>17.293220338983051</v>
      </c>
      <c r="J81" s="14"/>
      <c r="K81" s="39">
        <v>17.174576271186439</v>
      </c>
      <c r="L81" s="10">
        <v>0</v>
      </c>
      <c r="M81" s="52">
        <v>17.174576271186439</v>
      </c>
      <c r="N81" s="41">
        <v>0</v>
      </c>
      <c r="O81" s="10">
        <v>0</v>
      </c>
      <c r="P81" s="51">
        <f>Q81+R81+S81+T81</f>
        <v>17.292999999999999</v>
      </c>
      <c r="Q81" s="39">
        <v>0</v>
      </c>
      <c r="R81" s="39">
        <v>17.292999999999999</v>
      </c>
      <c r="S81" s="39">
        <v>0</v>
      </c>
      <c r="T81" s="10">
        <v>0</v>
      </c>
      <c r="U81" s="10">
        <v>11.894915254237288</v>
      </c>
      <c r="V81" s="10">
        <v>11.894915254237288</v>
      </c>
      <c r="W81" s="10">
        <v>0</v>
      </c>
      <c r="X81" s="10">
        <v>0</v>
      </c>
      <c r="Y81" s="41">
        <v>0</v>
      </c>
      <c r="Z81" s="3">
        <v>0</v>
      </c>
      <c r="AA81" s="10"/>
      <c r="AB81" s="10"/>
      <c r="AC81" s="10">
        <v>0</v>
      </c>
      <c r="AD81" s="10">
        <f>6.23/1.18</f>
        <v>5.2796610169491531</v>
      </c>
      <c r="AE81" s="10">
        <v>11.894915254237288</v>
      </c>
      <c r="AF81" s="10">
        <f>14.175/1.18</f>
        <v>12.01271186440678</v>
      </c>
      <c r="AG81" s="10"/>
      <c r="AH81" s="10"/>
      <c r="AI81" s="10"/>
      <c r="AJ81" s="10"/>
      <c r="AK81" s="3">
        <f t="shared" si="29"/>
        <v>17.292372881355934</v>
      </c>
      <c r="AL81" s="3">
        <f t="shared" si="30"/>
        <v>17.292372881355934</v>
      </c>
      <c r="AM81" s="12" t="s">
        <v>347</v>
      </c>
    </row>
    <row r="82" spans="1:40" ht="45" x14ac:dyDescent="0.25">
      <c r="A82" s="5" t="s">
        <v>119</v>
      </c>
      <c r="B82" s="6" t="s">
        <v>120</v>
      </c>
      <c r="C82" s="11" t="s">
        <v>10</v>
      </c>
      <c r="D82" s="11"/>
      <c r="E82" s="11"/>
      <c r="F82" s="11"/>
      <c r="G82" s="11"/>
      <c r="H82" s="2">
        <v>69.130508474576303</v>
      </c>
      <c r="I82" s="2">
        <v>71.453728813559323</v>
      </c>
      <c r="J82" s="2">
        <v>0.36694915254237293</v>
      </c>
      <c r="K82" s="2">
        <v>69.130508474576303</v>
      </c>
      <c r="L82" s="2">
        <v>22.741525423728817</v>
      </c>
      <c r="M82" s="2">
        <v>26.222033898305085</v>
      </c>
      <c r="N82" s="2">
        <v>19.651694915254236</v>
      </c>
      <c r="O82" s="2">
        <v>0.51525423728813557</v>
      </c>
      <c r="P82" s="2">
        <f>SUM(P83:P111)</f>
        <v>15.814508474576273</v>
      </c>
      <c r="Q82" s="2">
        <f t="shared" ref="Q82:AL82" si="31">SUM(Q83:Q111)</f>
        <v>0</v>
      </c>
      <c r="R82" s="2">
        <f t="shared" si="31"/>
        <v>6.0809999999999995</v>
      </c>
      <c r="S82" s="2">
        <f t="shared" si="31"/>
        <v>9.2182542372881358</v>
      </c>
      <c r="T82" s="2">
        <f t="shared" si="31"/>
        <v>0.51525423728813557</v>
      </c>
      <c r="U82" s="2">
        <f t="shared" si="31"/>
        <v>69.130508474576303</v>
      </c>
      <c r="V82" s="2">
        <f t="shared" si="31"/>
        <v>69.130508474576303</v>
      </c>
      <c r="W82" s="2">
        <f t="shared" si="31"/>
        <v>69.130508474576303</v>
      </c>
      <c r="X82" s="2">
        <f t="shared" si="31"/>
        <v>69.130508474576303</v>
      </c>
      <c r="Y82" s="2">
        <f t="shared" si="31"/>
        <v>14.222881355932204</v>
      </c>
      <c r="Z82" s="2">
        <f t="shared" si="31"/>
        <v>14.222881355932204</v>
      </c>
      <c r="AA82" s="2">
        <f t="shared" si="31"/>
        <v>0</v>
      </c>
      <c r="AB82" s="2">
        <f t="shared" si="31"/>
        <v>0</v>
      </c>
      <c r="AC82" s="2">
        <f t="shared" si="31"/>
        <v>15.031355932203391</v>
      </c>
      <c r="AD82" s="2">
        <f t="shared" si="31"/>
        <v>0.47288135593220337</v>
      </c>
      <c r="AE82" s="2">
        <f t="shared" si="31"/>
        <v>0</v>
      </c>
      <c r="AF82" s="2">
        <f t="shared" si="31"/>
        <v>0.75254237288135595</v>
      </c>
      <c r="AG82" s="2">
        <f t="shared" si="31"/>
        <v>29.420338983050851</v>
      </c>
      <c r="AH82" s="2">
        <f t="shared" si="31"/>
        <v>4.0033898305084747</v>
      </c>
      <c r="AI82" s="2">
        <f t="shared" si="31"/>
        <v>39.710169491525427</v>
      </c>
      <c r="AJ82" s="2">
        <f t="shared" si="31"/>
        <v>10.219491525423729</v>
      </c>
      <c r="AK82" s="2">
        <f t="shared" si="31"/>
        <v>70.355932203389841</v>
      </c>
      <c r="AL82" s="2">
        <f t="shared" si="31"/>
        <v>15.448305084745762</v>
      </c>
      <c r="AM82" s="40"/>
    </row>
    <row r="83" spans="1:40" ht="105" x14ac:dyDescent="0.25">
      <c r="A83" s="35" t="s">
        <v>119</v>
      </c>
      <c r="B83" s="44" t="s">
        <v>121</v>
      </c>
      <c r="C83" s="45" t="s">
        <v>90</v>
      </c>
      <c r="D83" s="45" t="s">
        <v>333</v>
      </c>
      <c r="E83" s="45">
        <v>2019</v>
      </c>
      <c r="F83" s="45">
        <v>2019</v>
      </c>
      <c r="G83" s="53">
        <v>2019</v>
      </c>
      <c r="H83" s="14">
        <v>3.2372881355932206</v>
      </c>
      <c r="I83" s="52">
        <v>3.2372881355932206</v>
      </c>
      <c r="J83" s="14"/>
      <c r="K83" s="10">
        <v>3.2372881355932206</v>
      </c>
      <c r="L83" s="10">
        <v>0</v>
      </c>
      <c r="M83" s="10">
        <v>0</v>
      </c>
      <c r="N83" s="52">
        <v>3.2372881355932206</v>
      </c>
      <c r="O83" s="10">
        <v>0</v>
      </c>
      <c r="P83" s="10"/>
      <c r="Q83" s="10"/>
      <c r="R83" s="10"/>
      <c r="S83" s="14"/>
      <c r="T83" s="10"/>
      <c r="U83" s="10">
        <v>3.2372881355932206</v>
      </c>
      <c r="V83" s="10">
        <v>3.2372881355932206</v>
      </c>
      <c r="W83" s="10">
        <v>3.2372881355932206</v>
      </c>
      <c r="X83" s="10">
        <v>3.2372881355932206</v>
      </c>
      <c r="Y83" s="41"/>
      <c r="Z83" s="3"/>
      <c r="AA83" s="10"/>
      <c r="AB83" s="10"/>
      <c r="AC83" s="10">
        <v>3.2372881355932206</v>
      </c>
      <c r="AD83" s="10">
        <v>0</v>
      </c>
      <c r="AE83" s="10"/>
      <c r="AF83" s="10"/>
      <c r="AG83" s="10"/>
      <c r="AH83" s="10"/>
      <c r="AI83" s="10">
        <v>3.2372881355932206</v>
      </c>
      <c r="AJ83" s="10"/>
      <c r="AK83" s="3">
        <f t="shared" si="29"/>
        <v>3.2372881355932206</v>
      </c>
      <c r="AL83" s="3">
        <f t="shared" si="30"/>
        <v>0</v>
      </c>
      <c r="AM83" s="12" t="s">
        <v>357</v>
      </c>
      <c r="AN83" s="22"/>
    </row>
    <row r="84" spans="1:40" ht="60" x14ac:dyDescent="0.25">
      <c r="A84" s="35" t="s">
        <v>119</v>
      </c>
      <c r="B84" s="44" t="s">
        <v>123</v>
      </c>
      <c r="C84" s="45" t="s">
        <v>92</v>
      </c>
      <c r="D84" s="45" t="s">
        <v>335</v>
      </c>
      <c r="E84" s="45">
        <v>2019</v>
      </c>
      <c r="F84" s="45">
        <v>2019</v>
      </c>
      <c r="G84" s="45">
        <v>2017</v>
      </c>
      <c r="H84" s="14"/>
      <c r="I84" s="52">
        <v>0.11525423728813561</v>
      </c>
      <c r="J84" s="14"/>
      <c r="K84" s="10"/>
      <c r="L84" s="10"/>
      <c r="M84" s="10"/>
      <c r="N84" s="10"/>
      <c r="O84" s="10"/>
      <c r="P84" s="10">
        <f>Q84+R84+S84+T84</f>
        <v>0.115</v>
      </c>
      <c r="Q84" s="10">
        <v>0</v>
      </c>
      <c r="R84" s="10">
        <v>0.115</v>
      </c>
      <c r="S84" s="10">
        <v>0</v>
      </c>
      <c r="T84" s="10">
        <v>0</v>
      </c>
      <c r="U84" s="10">
        <v>0</v>
      </c>
      <c r="V84" s="10">
        <v>0</v>
      </c>
      <c r="W84" s="10">
        <v>0</v>
      </c>
      <c r="X84" s="10">
        <v>0</v>
      </c>
      <c r="Y84" s="41">
        <v>0</v>
      </c>
      <c r="Z84" s="3">
        <v>0</v>
      </c>
      <c r="AA84" s="10"/>
      <c r="AB84" s="10"/>
      <c r="AC84" s="10"/>
      <c r="AD84" s="10"/>
      <c r="AE84" s="10">
        <v>0</v>
      </c>
      <c r="AF84" s="10">
        <f>0.136/1.18</f>
        <v>0.11525423728813561</v>
      </c>
      <c r="AG84" s="10"/>
      <c r="AH84" s="10"/>
      <c r="AI84" s="10"/>
      <c r="AJ84" s="10"/>
      <c r="AK84" s="3">
        <f t="shared" si="29"/>
        <v>0.11525423728813561</v>
      </c>
      <c r="AL84" s="3">
        <f t="shared" si="30"/>
        <v>0.11525423728813561</v>
      </c>
      <c r="AM84" s="12" t="s">
        <v>349</v>
      </c>
      <c r="AN84" s="22"/>
    </row>
    <row r="85" spans="1:40" ht="60" x14ac:dyDescent="0.25">
      <c r="A85" s="35" t="s">
        <v>119</v>
      </c>
      <c r="B85" s="44" t="s">
        <v>125</v>
      </c>
      <c r="C85" s="45" t="s">
        <v>93</v>
      </c>
      <c r="D85" s="45" t="s">
        <v>335</v>
      </c>
      <c r="E85" s="45">
        <v>2019</v>
      </c>
      <c r="F85" s="45">
        <v>2019</v>
      </c>
      <c r="G85" s="45">
        <v>2017</v>
      </c>
      <c r="H85" s="14"/>
      <c r="I85" s="52">
        <v>0.11101694915254239</v>
      </c>
      <c r="J85" s="14"/>
      <c r="K85" s="10"/>
      <c r="L85" s="10"/>
      <c r="M85" s="10"/>
      <c r="N85" s="10"/>
      <c r="O85" s="10"/>
      <c r="P85" s="10">
        <f t="shared" ref="P85:P91" si="32">Q85+R85+S85+T85</f>
        <v>0.111</v>
      </c>
      <c r="Q85" s="10">
        <v>0</v>
      </c>
      <c r="R85" s="10">
        <v>0.111</v>
      </c>
      <c r="S85" s="10">
        <v>0</v>
      </c>
      <c r="T85" s="10">
        <v>0</v>
      </c>
      <c r="U85" s="10">
        <v>0</v>
      </c>
      <c r="V85" s="10">
        <v>0</v>
      </c>
      <c r="W85" s="10">
        <v>0</v>
      </c>
      <c r="X85" s="10">
        <v>0</v>
      </c>
      <c r="Y85" s="41">
        <v>0</v>
      </c>
      <c r="Z85" s="3">
        <v>0</v>
      </c>
      <c r="AA85" s="10"/>
      <c r="AB85" s="10"/>
      <c r="AC85" s="10"/>
      <c r="AD85" s="10"/>
      <c r="AE85" s="10">
        <v>0</v>
      </c>
      <c r="AF85" s="10">
        <f>0.131/1.18</f>
        <v>0.11101694915254239</v>
      </c>
      <c r="AG85" s="10"/>
      <c r="AH85" s="10"/>
      <c r="AI85" s="10"/>
      <c r="AJ85" s="10"/>
      <c r="AK85" s="3">
        <f t="shared" si="29"/>
        <v>0.11101694915254239</v>
      </c>
      <c r="AL85" s="3">
        <f t="shared" si="30"/>
        <v>0.11101694915254239</v>
      </c>
      <c r="AM85" s="12" t="s">
        <v>349</v>
      </c>
      <c r="AN85" s="22"/>
    </row>
    <row r="86" spans="1:40" ht="60" x14ac:dyDescent="0.25">
      <c r="A86" s="35" t="s">
        <v>119</v>
      </c>
      <c r="B86" s="44" t="s">
        <v>128</v>
      </c>
      <c r="C86" s="45" t="s">
        <v>94</v>
      </c>
      <c r="D86" s="45" t="s">
        <v>335</v>
      </c>
      <c r="E86" s="45">
        <v>2019</v>
      </c>
      <c r="F86" s="45">
        <v>2019</v>
      </c>
      <c r="G86" s="45">
        <v>2017</v>
      </c>
      <c r="H86" s="14"/>
      <c r="I86" s="52">
        <v>9.4915254237288138E-2</v>
      </c>
      <c r="J86" s="14"/>
      <c r="K86" s="10"/>
      <c r="L86" s="10"/>
      <c r="M86" s="10"/>
      <c r="N86" s="10"/>
      <c r="O86" s="10"/>
      <c r="P86" s="10">
        <f t="shared" si="32"/>
        <v>9.5000000000000001E-2</v>
      </c>
      <c r="Q86" s="10">
        <v>0</v>
      </c>
      <c r="R86" s="10">
        <v>9.5000000000000001E-2</v>
      </c>
      <c r="S86" s="10">
        <v>0</v>
      </c>
      <c r="T86" s="10">
        <v>0</v>
      </c>
      <c r="U86" s="10">
        <v>0</v>
      </c>
      <c r="V86" s="10">
        <v>0</v>
      </c>
      <c r="W86" s="10">
        <v>0</v>
      </c>
      <c r="X86" s="10">
        <v>0</v>
      </c>
      <c r="Y86" s="41">
        <v>0</v>
      </c>
      <c r="Z86" s="3">
        <v>0</v>
      </c>
      <c r="AA86" s="10"/>
      <c r="AB86" s="10"/>
      <c r="AC86" s="10"/>
      <c r="AD86" s="10"/>
      <c r="AE86" s="10">
        <v>0</v>
      </c>
      <c r="AF86" s="10">
        <f>0.112/1.18</f>
        <v>9.4915254237288138E-2</v>
      </c>
      <c r="AG86" s="10"/>
      <c r="AH86" s="10"/>
      <c r="AI86" s="10"/>
      <c r="AJ86" s="10"/>
      <c r="AK86" s="3">
        <f t="shared" si="29"/>
        <v>9.4915254237288138E-2</v>
      </c>
      <c r="AL86" s="3">
        <f t="shared" si="30"/>
        <v>9.4915254237288138E-2</v>
      </c>
      <c r="AM86" s="12" t="s">
        <v>349</v>
      </c>
      <c r="AN86" s="22"/>
    </row>
    <row r="87" spans="1:40" ht="45" x14ac:dyDescent="0.25">
      <c r="A87" s="35" t="s">
        <v>119</v>
      </c>
      <c r="B87" s="44" t="s">
        <v>130</v>
      </c>
      <c r="C87" s="45" t="s">
        <v>96</v>
      </c>
      <c r="D87" s="45" t="s">
        <v>333</v>
      </c>
      <c r="E87" s="45">
        <v>2019</v>
      </c>
      <c r="F87" s="45">
        <v>2019</v>
      </c>
      <c r="G87" s="53">
        <v>2019</v>
      </c>
      <c r="H87" s="14">
        <v>2.1576271186440676</v>
      </c>
      <c r="I87" s="52">
        <v>2.1576271186440676</v>
      </c>
      <c r="J87" s="14"/>
      <c r="K87" s="10">
        <v>2.1576271186440676</v>
      </c>
      <c r="L87" s="41">
        <v>0</v>
      </c>
      <c r="M87" s="41">
        <v>0</v>
      </c>
      <c r="N87" s="52">
        <v>2.1576271186440676</v>
      </c>
      <c r="O87" s="41">
        <v>0</v>
      </c>
      <c r="P87" s="10">
        <f t="shared" si="32"/>
        <v>2.1576271186440676</v>
      </c>
      <c r="Q87" s="10">
        <v>0</v>
      </c>
      <c r="R87" s="10">
        <v>0</v>
      </c>
      <c r="S87" s="14">
        <v>2.1576271186440676</v>
      </c>
      <c r="T87" s="10">
        <v>0</v>
      </c>
      <c r="U87" s="10">
        <v>2.1576271186440676</v>
      </c>
      <c r="V87" s="10">
        <v>2.1576271186440676</v>
      </c>
      <c r="W87" s="10">
        <v>2.1576271186440676</v>
      </c>
      <c r="X87" s="10">
        <v>2.1576271186440676</v>
      </c>
      <c r="Y87" s="41">
        <v>2.1576271186440676</v>
      </c>
      <c r="Z87" s="3">
        <v>2.1576271186440676</v>
      </c>
      <c r="AA87" s="10"/>
      <c r="AB87" s="10"/>
      <c r="AC87" s="10"/>
      <c r="AD87" s="10"/>
      <c r="AE87" s="10"/>
      <c r="AF87" s="10"/>
      <c r="AG87" s="10"/>
      <c r="AH87" s="10"/>
      <c r="AI87" s="10">
        <v>2.1576271186440676</v>
      </c>
      <c r="AJ87" s="10">
        <v>2.1576271186440676</v>
      </c>
      <c r="AK87" s="3">
        <f t="shared" si="29"/>
        <v>2.1576271186440676</v>
      </c>
      <c r="AL87" s="3">
        <f t="shared" si="30"/>
        <v>2.1576271186440676</v>
      </c>
      <c r="AM87" s="12" t="s">
        <v>350</v>
      </c>
      <c r="AN87" s="22"/>
    </row>
    <row r="88" spans="1:40" ht="45" x14ac:dyDescent="0.25">
      <c r="A88" s="35" t="s">
        <v>119</v>
      </c>
      <c r="B88" s="44" t="s">
        <v>294</v>
      </c>
      <c r="C88" s="45" t="s">
        <v>98</v>
      </c>
      <c r="D88" s="45" t="s">
        <v>333</v>
      </c>
      <c r="E88" s="45">
        <v>2018</v>
      </c>
      <c r="F88" s="45">
        <v>2018</v>
      </c>
      <c r="G88" s="43">
        <v>2018</v>
      </c>
      <c r="H88" s="14">
        <v>1.8881355932203392</v>
      </c>
      <c r="I88" s="52">
        <v>1.4432203389830509</v>
      </c>
      <c r="J88" s="14"/>
      <c r="K88" s="10">
        <v>1.8881355932203392</v>
      </c>
      <c r="L88" s="41">
        <v>0</v>
      </c>
      <c r="M88" s="41">
        <v>0</v>
      </c>
      <c r="N88" s="52">
        <v>1.8881355932203392</v>
      </c>
      <c r="O88" s="41">
        <v>0</v>
      </c>
      <c r="P88" s="10">
        <f t="shared" si="32"/>
        <v>1.4432203389830509</v>
      </c>
      <c r="Q88" s="10">
        <v>0</v>
      </c>
      <c r="R88" s="10">
        <v>0</v>
      </c>
      <c r="S88" s="14">
        <v>1.4432203389830509</v>
      </c>
      <c r="T88" s="10">
        <v>0</v>
      </c>
      <c r="U88" s="10">
        <v>1.8881355932203392</v>
      </c>
      <c r="V88" s="10">
        <v>1.8881355932203392</v>
      </c>
      <c r="W88" s="10">
        <v>1.8881355932203392</v>
      </c>
      <c r="X88" s="10">
        <v>1.8881355932203392</v>
      </c>
      <c r="Y88" s="41">
        <v>1.4432203389830509</v>
      </c>
      <c r="Z88" s="3">
        <v>1.4432203389830509</v>
      </c>
      <c r="AA88" s="10"/>
      <c r="AB88" s="10"/>
      <c r="AC88" s="10"/>
      <c r="AD88" s="10"/>
      <c r="AE88" s="10"/>
      <c r="AF88" s="10"/>
      <c r="AG88" s="10">
        <v>1.8881355932203392</v>
      </c>
      <c r="AH88" s="39">
        <v>1.4432203389830509</v>
      </c>
      <c r="AI88" s="10"/>
      <c r="AJ88" s="10"/>
      <c r="AK88" s="3">
        <f t="shared" si="29"/>
        <v>1.8881355932203392</v>
      </c>
      <c r="AL88" s="3">
        <f t="shared" si="30"/>
        <v>1.4432203389830509</v>
      </c>
      <c r="AM88" s="12" t="s">
        <v>351</v>
      </c>
      <c r="AN88" s="22"/>
    </row>
    <row r="89" spans="1:40" ht="75" x14ac:dyDescent="0.25">
      <c r="A89" s="35" t="s">
        <v>119</v>
      </c>
      <c r="B89" s="44" t="s">
        <v>133</v>
      </c>
      <c r="C89" s="45" t="s">
        <v>100</v>
      </c>
      <c r="D89" s="45" t="s">
        <v>333</v>
      </c>
      <c r="E89" s="45">
        <v>2018</v>
      </c>
      <c r="F89" s="45">
        <v>2018</v>
      </c>
      <c r="G89" s="53">
        <v>2019</v>
      </c>
      <c r="H89" s="14">
        <v>0.53983050847457625</v>
      </c>
      <c r="I89" s="52">
        <v>0.53983050847457625</v>
      </c>
      <c r="J89" s="14"/>
      <c r="K89" s="10">
        <v>0.53983050847457625</v>
      </c>
      <c r="L89" s="41">
        <v>0</v>
      </c>
      <c r="M89" s="41">
        <v>0</v>
      </c>
      <c r="N89" s="52">
        <v>0.53983050847457625</v>
      </c>
      <c r="O89" s="41">
        <v>0</v>
      </c>
      <c r="P89" s="10">
        <f t="shared" si="32"/>
        <v>0.53983050847457625</v>
      </c>
      <c r="Q89" s="10">
        <v>0</v>
      </c>
      <c r="R89" s="10">
        <v>0</v>
      </c>
      <c r="S89" s="14">
        <v>0.53983050847457625</v>
      </c>
      <c r="T89" s="10">
        <v>0</v>
      </c>
      <c r="U89" s="10">
        <v>0.53983050847457625</v>
      </c>
      <c r="V89" s="10">
        <v>0.53983050847457625</v>
      </c>
      <c r="W89" s="10">
        <v>0.53983050847457625</v>
      </c>
      <c r="X89" s="10">
        <v>0.53983050847457625</v>
      </c>
      <c r="Y89" s="41">
        <v>0.53983050847457625</v>
      </c>
      <c r="Z89" s="3">
        <v>0.53983050847457625</v>
      </c>
      <c r="AA89" s="10"/>
      <c r="AB89" s="10"/>
      <c r="AC89" s="10"/>
      <c r="AD89" s="10"/>
      <c r="AE89" s="10"/>
      <c r="AF89" s="10"/>
      <c r="AG89" s="10">
        <v>0.53983050847457625</v>
      </c>
      <c r="AH89" s="39">
        <v>0</v>
      </c>
      <c r="AI89" s="10">
        <v>0</v>
      </c>
      <c r="AJ89" s="10">
        <v>0.53983050847457625</v>
      </c>
      <c r="AK89" s="3">
        <f t="shared" si="29"/>
        <v>0.53983050847457625</v>
      </c>
      <c r="AL89" s="3">
        <f t="shared" si="30"/>
        <v>0.53983050847457625</v>
      </c>
      <c r="AM89" s="12" t="s">
        <v>348</v>
      </c>
      <c r="AN89" s="22"/>
    </row>
    <row r="90" spans="1:40" ht="105" x14ac:dyDescent="0.25">
      <c r="A90" s="35" t="s">
        <v>119</v>
      </c>
      <c r="B90" s="44" t="s">
        <v>135</v>
      </c>
      <c r="C90" s="45" t="s">
        <v>102</v>
      </c>
      <c r="D90" s="45" t="s">
        <v>333</v>
      </c>
      <c r="E90" s="45">
        <v>2019</v>
      </c>
      <c r="F90" s="45">
        <v>2019</v>
      </c>
      <c r="G90" s="53">
        <v>2019</v>
      </c>
      <c r="H90" s="14">
        <v>3.2372881355932206</v>
      </c>
      <c r="I90" s="52">
        <v>3.2372881355932206</v>
      </c>
      <c r="J90" s="14"/>
      <c r="K90" s="10">
        <v>3.2372881355932206</v>
      </c>
      <c r="L90" s="41">
        <v>0</v>
      </c>
      <c r="M90" s="41">
        <v>0</v>
      </c>
      <c r="N90" s="52">
        <v>3.2372881355932206</v>
      </c>
      <c r="O90" s="41">
        <v>0</v>
      </c>
      <c r="P90" s="10"/>
      <c r="Q90" s="10"/>
      <c r="R90" s="10"/>
      <c r="S90" s="14"/>
      <c r="T90" s="10"/>
      <c r="U90" s="10">
        <v>3.2372881355932206</v>
      </c>
      <c r="V90" s="10">
        <v>3.2372881355932206</v>
      </c>
      <c r="W90" s="10">
        <v>3.2372881355932206</v>
      </c>
      <c r="X90" s="10">
        <v>3.2372881355932206</v>
      </c>
      <c r="Y90" s="41"/>
      <c r="Z90" s="3"/>
      <c r="AA90" s="10"/>
      <c r="AB90" s="10"/>
      <c r="AC90" s="10"/>
      <c r="AD90" s="10"/>
      <c r="AE90" s="10"/>
      <c r="AF90" s="10"/>
      <c r="AG90" s="10"/>
      <c r="AH90" s="10"/>
      <c r="AI90" s="10">
        <v>3.2372881355932206</v>
      </c>
      <c r="AJ90" s="10"/>
      <c r="AK90" s="3">
        <f t="shared" si="29"/>
        <v>3.2372881355932206</v>
      </c>
      <c r="AL90" s="3">
        <f t="shared" si="30"/>
        <v>0</v>
      </c>
      <c r="AM90" s="12" t="s">
        <v>357</v>
      </c>
      <c r="AN90" s="22"/>
    </row>
    <row r="91" spans="1:40" ht="75" x14ac:dyDescent="0.25">
      <c r="A91" s="35" t="s">
        <v>119</v>
      </c>
      <c r="B91" s="44" t="s">
        <v>137</v>
      </c>
      <c r="C91" s="45" t="s">
        <v>104</v>
      </c>
      <c r="D91" s="45" t="s">
        <v>333</v>
      </c>
      <c r="E91" s="45">
        <v>2018</v>
      </c>
      <c r="F91" s="45">
        <v>2018</v>
      </c>
      <c r="G91" s="53">
        <v>2019</v>
      </c>
      <c r="H91" s="14">
        <v>5.9076271186440685</v>
      </c>
      <c r="I91" s="52">
        <v>6.274576271186441</v>
      </c>
      <c r="J91" s="14">
        <v>0.36694915254237293</v>
      </c>
      <c r="K91" s="10">
        <v>5.9076271186440685</v>
      </c>
      <c r="L91" s="41">
        <v>0</v>
      </c>
      <c r="M91" s="41">
        <v>5.3923728813559331</v>
      </c>
      <c r="N91" s="41">
        <v>0</v>
      </c>
      <c r="O91" s="41">
        <v>0.51525423728813557</v>
      </c>
      <c r="P91" s="10">
        <f t="shared" si="32"/>
        <v>6.2752542372881353</v>
      </c>
      <c r="Q91" s="10">
        <v>0</v>
      </c>
      <c r="R91" s="10">
        <v>5.76</v>
      </c>
      <c r="S91" s="10">
        <v>0</v>
      </c>
      <c r="T91" s="10">
        <v>0.51525423728813557</v>
      </c>
      <c r="U91" s="10">
        <v>5.9076271186440685</v>
      </c>
      <c r="V91" s="10">
        <v>5.9076271186440685</v>
      </c>
      <c r="W91" s="10">
        <v>5.9076271186440685</v>
      </c>
      <c r="X91" s="10">
        <v>5.9076271186440685</v>
      </c>
      <c r="Y91" s="41">
        <v>5.9076271186440685</v>
      </c>
      <c r="Z91" s="3">
        <v>5.9076271186440685</v>
      </c>
      <c r="AA91" s="10"/>
      <c r="AB91" s="10"/>
      <c r="AC91" s="10">
        <v>5.9076271186440685</v>
      </c>
      <c r="AD91" s="10">
        <v>0</v>
      </c>
      <c r="AE91" s="10"/>
      <c r="AF91" s="10"/>
      <c r="AG91" s="10">
        <v>5.9076271186440685</v>
      </c>
      <c r="AH91" s="39">
        <v>0</v>
      </c>
      <c r="AI91" s="10">
        <v>0</v>
      </c>
      <c r="AJ91" s="10">
        <v>5.9076271186440685</v>
      </c>
      <c r="AK91" s="3">
        <f t="shared" si="29"/>
        <v>5.9076271186440685</v>
      </c>
      <c r="AL91" s="3">
        <f t="shared" si="30"/>
        <v>5.9076271186440685</v>
      </c>
      <c r="AM91" s="12" t="s">
        <v>348</v>
      </c>
      <c r="AN91" s="22"/>
    </row>
    <row r="92" spans="1:40" ht="105" x14ac:dyDescent="0.25">
      <c r="A92" s="35" t="s">
        <v>119</v>
      </c>
      <c r="B92" s="44" t="s">
        <v>139</v>
      </c>
      <c r="C92" s="45" t="s">
        <v>112</v>
      </c>
      <c r="D92" s="45" t="s">
        <v>333</v>
      </c>
      <c r="E92" s="45">
        <v>2018</v>
      </c>
      <c r="F92" s="45">
        <v>2019</v>
      </c>
      <c r="G92" s="53">
        <v>2019</v>
      </c>
      <c r="H92" s="14">
        <v>43.57118644067797</v>
      </c>
      <c r="I92" s="52">
        <v>43.57118644067797</v>
      </c>
      <c r="J92" s="14"/>
      <c r="K92" s="10">
        <v>43.57118644067797</v>
      </c>
      <c r="L92" s="41">
        <v>22.741525423728817</v>
      </c>
      <c r="M92" s="41">
        <v>20.829661016949153</v>
      </c>
      <c r="N92" s="41">
        <v>0</v>
      </c>
      <c r="O92" s="41">
        <v>0</v>
      </c>
      <c r="P92" s="10"/>
      <c r="Q92" s="10"/>
      <c r="R92" s="10"/>
      <c r="S92" s="10"/>
      <c r="T92" s="10"/>
      <c r="U92" s="10">
        <v>43.57118644067797</v>
      </c>
      <c r="V92" s="10">
        <v>43.57118644067797</v>
      </c>
      <c r="W92" s="10">
        <v>43.57118644067797</v>
      </c>
      <c r="X92" s="10">
        <v>43.57118644067797</v>
      </c>
      <c r="Y92" s="41"/>
      <c r="Z92" s="3"/>
      <c r="AA92" s="10"/>
      <c r="AB92" s="10"/>
      <c r="AC92" s="10">
        <v>1.9118644067796609</v>
      </c>
      <c r="AD92" s="10">
        <v>0</v>
      </c>
      <c r="AE92" s="10"/>
      <c r="AF92" s="10"/>
      <c r="AG92" s="10">
        <v>20.829661016949153</v>
      </c>
      <c r="AH92" s="39">
        <v>0</v>
      </c>
      <c r="AI92" s="10">
        <v>22.741525423728817</v>
      </c>
      <c r="AJ92" s="10"/>
      <c r="AK92" s="3">
        <f t="shared" si="29"/>
        <v>43.57118644067797</v>
      </c>
      <c r="AL92" s="3">
        <f t="shared" si="30"/>
        <v>0</v>
      </c>
      <c r="AM92" s="12" t="s">
        <v>357</v>
      </c>
      <c r="AN92" s="22"/>
    </row>
    <row r="93" spans="1:40" ht="105" x14ac:dyDescent="0.25">
      <c r="A93" s="35" t="s">
        <v>119</v>
      </c>
      <c r="B93" s="44" t="s">
        <v>141</v>
      </c>
      <c r="C93" s="45" t="s">
        <v>114</v>
      </c>
      <c r="D93" s="45" t="s">
        <v>333</v>
      </c>
      <c r="E93" s="45">
        <v>2019</v>
      </c>
      <c r="F93" s="45">
        <v>2019</v>
      </c>
      <c r="G93" s="53">
        <v>2019</v>
      </c>
      <c r="H93" s="14">
        <v>1.5313559322033898</v>
      </c>
      <c r="I93" s="52">
        <v>1.5313559322033898</v>
      </c>
      <c r="J93" s="14"/>
      <c r="K93" s="10">
        <v>1.5313559322033898</v>
      </c>
      <c r="L93" s="41">
        <v>0</v>
      </c>
      <c r="M93" s="41">
        <v>0</v>
      </c>
      <c r="N93" s="52">
        <v>1.5313559322033898</v>
      </c>
      <c r="O93" s="41">
        <v>0</v>
      </c>
      <c r="P93" s="10"/>
      <c r="Q93" s="10"/>
      <c r="R93" s="10"/>
      <c r="S93" s="14"/>
      <c r="T93" s="10"/>
      <c r="U93" s="10">
        <v>1.5313559322033898</v>
      </c>
      <c r="V93" s="10">
        <v>1.5313559322033898</v>
      </c>
      <c r="W93" s="10">
        <v>1.5313559322033898</v>
      </c>
      <c r="X93" s="10">
        <v>1.5313559322033898</v>
      </c>
      <c r="Y93" s="41"/>
      <c r="Z93" s="3"/>
      <c r="AA93" s="10"/>
      <c r="AB93" s="10"/>
      <c r="AC93" s="10">
        <v>1.5313559322033898</v>
      </c>
      <c r="AD93" s="10">
        <v>0</v>
      </c>
      <c r="AE93" s="10"/>
      <c r="AF93" s="10"/>
      <c r="AG93" s="10"/>
      <c r="AH93" s="10"/>
      <c r="AI93" s="10">
        <v>1.5313559322033898</v>
      </c>
      <c r="AJ93" s="10"/>
      <c r="AK93" s="3">
        <f t="shared" si="29"/>
        <v>1.5313559322033898</v>
      </c>
      <c r="AL93" s="3">
        <f t="shared" si="30"/>
        <v>0</v>
      </c>
      <c r="AM93" s="12" t="s">
        <v>357</v>
      </c>
      <c r="AN93" s="22"/>
    </row>
    <row r="94" spans="1:40" ht="105" x14ac:dyDescent="0.25">
      <c r="A94" s="35" t="s">
        <v>119</v>
      </c>
      <c r="B94" s="44" t="s">
        <v>143</v>
      </c>
      <c r="C94" s="45" t="s">
        <v>116</v>
      </c>
      <c r="D94" s="45" t="s">
        <v>333</v>
      </c>
      <c r="E94" s="45">
        <v>2019</v>
      </c>
      <c r="F94" s="45">
        <v>2019</v>
      </c>
      <c r="G94" s="53">
        <v>2019</v>
      </c>
      <c r="H94" s="14">
        <v>0.40593220338983049</v>
      </c>
      <c r="I94" s="52">
        <v>0.40593220338983049</v>
      </c>
      <c r="J94" s="14"/>
      <c r="K94" s="10">
        <v>0.40593220338983049</v>
      </c>
      <c r="L94" s="41">
        <v>0</v>
      </c>
      <c r="M94" s="41">
        <v>0</v>
      </c>
      <c r="N94" s="52">
        <v>0.40593220338983049</v>
      </c>
      <c r="O94" s="41">
        <v>0</v>
      </c>
      <c r="P94" s="10"/>
      <c r="Q94" s="10"/>
      <c r="R94" s="10"/>
      <c r="S94" s="14"/>
      <c r="T94" s="10"/>
      <c r="U94" s="10">
        <v>0.40593220338983049</v>
      </c>
      <c r="V94" s="10">
        <v>0.40593220338983049</v>
      </c>
      <c r="W94" s="10">
        <v>0.40593220338983049</v>
      </c>
      <c r="X94" s="10">
        <v>0.40593220338983049</v>
      </c>
      <c r="Y94" s="41"/>
      <c r="Z94" s="3"/>
      <c r="AA94" s="10"/>
      <c r="AB94" s="10"/>
      <c r="AC94" s="10">
        <v>0.40593220338983049</v>
      </c>
      <c r="AD94" s="10">
        <v>0</v>
      </c>
      <c r="AE94" s="10"/>
      <c r="AF94" s="10"/>
      <c r="AG94" s="10"/>
      <c r="AH94" s="10"/>
      <c r="AI94" s="10">
        <v>0.40593220338983049</v>
      </c>
      <c r="AJ94" s="10"/>
      <c r="AK94" s="3">
        <f t="shared" si="29"/>
        <v>0.40593220338983049</v>
      </c>
      <c r="AL94" s="3">
        <f t="shared" si="30"/>
        <v>0</v>
      </c>
      <c r="AM94" s="12" t="s">
        <v>357</v>
      </c>
      <c r="AN94" s="22"/>
    </row>
    <row r="95" spans="1:40" ht="45" x14ac:dyDescent="0.25">
      <c r="A95" s="35" t="s">
        <v>119</v>
      </c>
      <c r="B95" s="44" t="s">
        <v>145</v>
      </c>
      <c r="C95" s="45" t="s">
        <v>118</v>
      </c>
      <c r="D95" s="45" t="s">
        <v>333</v>
      </c>
      <c r="E95" s="45">
        <v>2018</v>
      </c>
      <c r="F95" s="45">
        <v>2018</v>
      </c>
      <c r="G95" s="43">
        <v>2018</v>
      </c>
      <c r="H95" s="14">
        <v>0.2550847457627119</v>
      </c>
      <c r="I95" s="52">
        <v>0.20084745762711864</v>
      </c>
      <c r="J95" s="14"/>
      <c r="K95" s="10">
        <v>0.2550847457627119</v>
      </c>
      <c r="L95" s="41">
        <v>0</v>
      </c>
      <c r="M95" s="41">
        <v>0</v>
      </c>
      <c r="N95" s="52">
        <v>0.2550847457627119</v>
      </c>
      <c r="O95" s="41">
        <v>0</v>
      </c>
      <c r="P95" s="10">
        <f t="shared" ref="P95:P103" si="33">Q95+R95+S95+T95</f>
        <v>0.20084745762711864</v>
      </c>
      <c r="Q95" s="10">
        <v>0</v>
      </c>
      <c r="R95" s="10">
        <v>0</v>
      </c>
      <c r="S95" s="14">
        <v>0.20084745762711864</v>
      </c>
      <c r="T95" s="10">
        <v>0</v>
      </c>
      <c r="U95" s="10">
        <v>0.2550847457627119</v>
      </c>
      <c r="V95" s="10">
        <v>0.2550847457627119</v>
      </c>
      <c r="W95" s="10">
        <v>0.2550847457627119</v>
      </c>
      <c r="X95" s="10">
        <v>0.2550847457627119</v>
      </c>
      <c r="Y95" s="41">
        <v>0.20084745762711864</v>
      </c>
      <c r="Z95" s="3">
        <v>0.20084745762711864</v>
      </c>
      <c r="AA95" s="10"/>
      <c r="AB95" s="10"/>
      <c r="AC95" s="10">
        <v>0.2550847457627119</v>
      </c>
      <c r="AD95" s="10">
        <v>0</v>
      </c>
      <c r="AE95" s="10"/>
      <c r="AF95" s="10"/>
      <c r="AG95" s="10">
        <v>0.2550847457627119</v>
      </c>
      <c r="AH95" s="39">
        <v>0.20084745762711864</v>
      </c>
      <c r="AI95" s="10"/>
      <c r="AJ95" s="10"/>
      <c r="AK95" s="3">
        <f t="shared" si="29"/>
        <v>0.2550847457627119</v>
      </c>
      <c r="AL95" s="3">
        <f t="shared" si="30"/>
        <v>0.20084745762711864</v>
      </c>
      <c r="AM95" s="12" t="s">
        <v>351</v>
      </c>
      <c r="AN95" s="22"/>
    </row>
    <row r="96" spans="1:40" ht="105" x14ac:dyDescent="0.25">
      <c r="A96" s="35" t="s">
        <v>119</v>
      </c>
      <c r="B96" s="44" t="s">
        <v>147</v>
      </c>
      <c r="C96" s="45" t="s">
        <v>122</v>
      </c>
      <c r="D96" s="45" t="s">
        <v>333</v>
      </c>
      <c r="E96" s="45">
        <v>2019</v>
      </c>
      <c r="F96" s="45">
        <v>2019</v>
      </c>
      <c r="G96" s="53">
        <v>2019</v>
      </c>
      <c r="H96" s="14">
        <v>0.25677966101694916</v>
      </c>
      <c r="I96" s="52">
        <v>0.25677966101694916</v>
      </c>
      <c r="J96" s="14"/>
      <c r="K96" s="10">
        <v>0.25677966101694916</v>
      </c>
      <c r="L96" s="41">
        <v>0</v>
      </c>
      <c r="M96" s="41">
        <v>0</v>
      </c>
      <c r="N96" s="52">
        <v>0.25677966101694916</v>
      </c>
      <c r="O96" s="41">
        <v>0</v>
      </c>
      <c r="P96" s="10"/>
      <c r="Q96" s="10"/>
      <c r="R96" s="10"/>
      <c r="S96" s="14"/>
      <c r="T96" s="10"/>
      <c r="U96" s="10">
        <v>0.25677966101694916</v>
      </c>
      <c r="V96" s="10">
        <v>0.25677966101694916</v>
      </c>
      <c r="W96" s="10">
        <v>0.25677966101694916</v>
      </c>
      <c r="X96" s="10">
        <v>0.25677966101694916</v>
      </c>
      <c r="Y96" s="41"/>
      <c r="Z96" s="3"/>
      <c r="AA96" s="10"/>
      <c r="AB96" s="10"/>
      <c r="AC96" s="10">
        <v>0.25677966101694916</v>
      </c>
      <c r="AD96" s="10">
        <v>0</v>
      </c>
      <c r="AE96" s="10"/>
      <c r="AF96" s="10"/>
      <c r="AG96" s="10"/>
      <c r="AH96" s="10"/>
      <c r="AI96" s="10">
        <v>0.25677966101694916</v>
      </c>
      <c r="AJ96" s="10"/>
      <c r="AK96" s="3">
        <f t="shared" si="29"/>
        <v>0.25677966101694916</v>
      </c>
      <c r="AL96" s="3">
        <f t="shared" si="30"/>
        <v>0</v>
      </c>
      <c r="AM96" s="12" t="s">
        <v>357</v>
      </c>
      <c r="AN96" s="22"/>
    </row>
    <row r="97" spans="1:40" ht="45" x14ac:dyDescent="0.25">
      <c r="A97" s="35" t="s">
        <v>119</v>
      </c>
      <c r="B97" s="44" t="s">
        <v>155</v>
      </c>
      <c r="C97" s="45" t="s">
        <v>124</v>
      </c>
      <c r="D97" s="45" t="s">
        <v>333</v>
      </c>
      <c r="E97" s="45">
        <v>2019</v>
      </c>
      <c r="F97" s="45">
        <v>2019</v>
      </c>
      <c r="G97" s="53">
        <v>2019</v>
      </c>
      <c r="H97" s="14">
        <v>1.0211864406779663</v>
      </c>
      <c r="I97" s="52">
        <v>1.0211864406779663</v>
      </c>
      <c r="J97" s="14"/>
      <c r="K97" s="10">
        <v>1.0211864406779663</v>
      </c>
      <c r="L97" s="41">
        <v>0</v>
      </c>
      <c r="M97" s="41">
        <v>0</v>
      </c>
      <c r="N97" s="52">
        <v>1.0211864406779663</v>
      </c>
      <c r="O97" s="41">
        <v>0</v>
      </c>
      <c r="P97" s="10">
        <f t="shared" si="33"/>
        <v>1.0211864406779663</v>
      </c>
      <c r="Q97" s="10">
        <v>0</v>
      </c>
      <c r="R97" s="10">
        <v>0</v>
      </c>
      <c r="S97" s="14">
        <v>1.0211864406779663</v>
      </c>
      <c r="T97" s="10">
        <v>0</v>
      </c>
      <c r="U97" s="10">
        <v>1.0211864406779663</v>
      </c>
      <c r="V97" s="10">
        <v>1.0211864406779663</v>
      </c>
      <c r="W97" s="10">
        <v>1.0211864406779663</v>
      </c>
      <c r="X97" s="10">
        <v>1.0211864406779663</v>
      </c>
      <c r="Y97" s="41">
        <v>1.0211864406779663</v>
      </c>
      <c r="Z97" s="3">
        <v>1.0211864406779663</v>
      </c>
      <c r="AA97" s="10"/>
      <c r="AB97" s="10"/>
      <c r="AC97" s="10"/>
      <c r="AD97" s="10"/>
      <c r="AE97" s="10"/>
      <c r="AF97" s="10"/>
      <c r="AG97" s="10"/>
      <c r="AH97" s="10"/>
      <c r="AI97" s="10">
        <v>1.0211864406779663</v>
      </c>
      <c r="AJ97" s="10">
        <v>1.0211864406779663</v>
      </c>
      <c r="AK97" s="3">
        <f t="shared" si="29"/>
        <v>1.0211864406779663</v>
      </c>
      <c r="AL97" s="3">
        <f t="shared" si="30"/>
        <v>1.0211864406779663</v>
      </c>
      <c r="AM97" s="12" t="s">
        <v>350</v>
      </c>
      <c r="AN97" s="22"/>
    </row>
    <row r="98" spans="1:40" ht="45" x14ac:dyDescent="0.25">
      <c r="A98" s="35" t="s">
        <v>119</v>
      </c>
      <c r="B98" s="44" t="s">
        <v>156</v>
      </c>
      <c r="C98" s="45" t="s">
        <v>126</v>
      </c>
      <c r="D98" s="45" t="s">
        <v>333</v>
      </c>
      <c r="E98" s="45">
        <v>2019</v>
      </c>
      <c r="F98" s="45">
        <v>2019</v>
      </c>
      <c r="G98" s="53">
        <v>2019</v>
      </c>
      <c r="H98" s="14">
        <v>0.27033898305084747</v>
      </c>
      <c r="I98" s="52">
        <v>0.27033898305084747</v>
      </c>
      <c r="J98" s="14"/>
      <c r="K98" s="10">
        <v>0.27033898305084747</v>
      </c>
      <c r="L98" s="41">
        <v>0</v>
      </c>
      <c r="M98" s="41">
        <v>0</v>
      </c>
      <c r="N98" s="52">
        <v>0.27033898305084747</v>
      </c>
      <c r="O98" s="41">
        <v>0</v>
      </c>
      <c r="P98" s="10">
        <f t="shared" si="33"/>
        <v>0.27033898305084747</v>
      </c>
      <c r="Q98" s="10">
        <v>0</v>
      </c>
      <c r="R98" s="10">
        <v>0</v>
      </c>
      <c r="S98" s="14">
        <v>0.27033898305084747</v>
      </c>
      <c r="T98" s="10">
        <v>0</v>
      </c>
      <c r="U98" s="10">
        <v>0.27033898305084747</v>
      </c>
      <c r="V98" s="10">
        <v>0.27033898305084747</v>
      </c>
      <c r="W98" s="10">
        <v>0.27033898305084747</v>
      </c>
      <c r="X98" s="10">
        <v>0.27033898305084747</v>
      </c>
      <c r="Y98" s="41">
        <v>0.27033898305084747</v>
      </c>
      <c r="Z98" s="3">
        <v>0.27033898305084747</v>
      </c>
      <c r="AA98" s="10"/>
      <c r="AB98" s="10"/>
      <c r="AC98" s="10"/>
      <c r="AD98" s="10"/>
      <c r="AE98" s="10"/>
      <c r="AF98" s="10"/>
      <c r="AG98" s="10"/>
      <c r="AH98" s="10"/>
      <c r="AI98" s="10">
        <v>0.27033898305084747</v>
      </c>
      <c r="AJ98" s="10">
        <v>0.27033898305084747</v>
      </c>
      <c r="AK98" s="3">
        <f t="shared" si="29"/>
        <v>0.27033898305084747</v>
      </c>
      <c r="AL98" s="3">
        <f t="shared" si="30"/>
        <v>0.27033898305084747</v>
      </c>
      <c r="AM98" s="12" t="s">
        <v>350</v>
      </c>
      <c r="AN98" s="22"/>
    </row>
    <row r="99" spans="1:40" ht="150" x14ac:dyDescent="0.25">
      <c r="A99" s="35" t="s">
        <v>119</v>
      </c>
      <c r="B99" s="44" t="s">
        <v>295</v>
      </c>
      <c r="C99" s="45" t="s">
        <v>127</v>
      </c>
      <c r="D99" s="45" t="s">
        <v>333</v>
      </c>
      <c r="E99" s="45">
        <v>2019</v>
      </c>
      <c r="F99" s="45">
        <v>2019</v>
      </c>
      <c r="G99" s="43">
        <v>2018</v>
      </c>
      <c r="H99" s="14">
        <v>0.89322033898305098</v>
      </c>
      <c r="I99" s="52">
        <v>0.60338983050847461</v>
      </c>
      <c r="J99" s="14"/>
      <c r="K99" s="10">
        <v>0.89322033898305098</v>
      </c>
      <c r="L99" s="41">
        <v>0</v>
      </c>
      <c r="M99" s="41">
        <v>0</v>
      </c>
      <c r="N99" s="52">
        <v>0.89322033898305098</v>
      </c>
      <c r="O99" s="41">
        <v>0</v>
      </c>
      <c r="P99" s="10">
        <f t="shared" si="33"/>
        <v>0.60338983050847461</v>
      </c>
      <c r="Q99" s="10">
        <v>0</v>
      </c>
      <c r="R99" s="10">
        <v>0</v>
      </c>
      <c r="S99" s="14">
        <v>0.60338983050847461</v>
      </c>
      <c r="T99" s="10">
        <v>0</v>
      </c>
      <c r="U99" s="10">
        <v>0.89322033898305098</v>
      </c>
      <c r="V99" s="10">
        <v>0.89322033898305098</v>
      </c>
      <c r="W99" s="10">
        <v>0.89322033898305098</v>
      </c>
      <c r="X99" s="10">
        <v>0.89322033898305098</v>
      </c>
      <c r="Y99" s="41">
        <v>0.60338983050847461</v>
      </c>
      <c r="Z99" s="3">
        <v>0.60338983050847461</v>
      </c>
      <c r="AA99" s="10"/>
      <c r="AB99" s="10"/>
      <c r="AC99" s="10"/>
      <c r="AD99" s="10"/>
      <c r="AE99" s="10"/>
      <c r="AF99" s="10"/>
      <c r="AG99" s="10">
        <v>0</v>
      </c>
      <c r="AH99" s="39">
        <v>0.60338983050847461</v>
      </c>
      <c r="AI99" s="10">
        <v>0.89322033898305098</v>
      </c>
      <c r="AJ99" s="10"/>
      <c r="AK99" s="3">
        <f t="shared" si="29"/>
        <v>0.89322033898305098</v>
      </c>
      <c r="AL99" s="3">
        <f t="shared" si="30"/>
        <v>0.60338983050847461</v>
      </c>
      <c r="AM99" s="12" t="s">
        <v>352</v>
      </c>
      <c r="AN99" s="22"/>
    </row>
    <row r="100" spans="1:40" ht="150" x14ac:dyDescent="0.25">
      <c r="A100" s="35" t="s">
        <v>119</v>
      </c>
      <c r="B100" s="44" t="s">
        <v>296</v>
      </c>
      <c r="C100" s="45" t="s">
        <v>129</v>
      </c>
      <c r="D100" s="45" t="s">
        <v>333</v>
      </c>
      <c r="E100" s="45">
        <v>2019</v>
      </c>
      <c r="F100" s="45">
        <v>2019</v>
      </c>
      <c r="G100" s="43">
        <v>2018</v>
      </c>
      <c r="H100" s="14">
        <v>0.23644067796610174</v>
      </c>
      <c r="I100" s="52">
        <v>0.18728813559322036</v>
      </c>
      <c r="J100" s="14"/>
      <c r="K100" s="10">
        <v>0.23644067796610174</v>
      </c>
      <c r="L100" s="41">
        <v>0</v>
      </c>
      <c r="M100" s="41">
        <v>0</v>
      </c>
      <c r="N100" s="52">
        <v>0.23644067796610174</v>
      </c>
      <c r="O100" s="41">
        <v>0</v>
      </c>
      <c r="P100" s="10">
        <f t="shared" si="33"/>
        <v>0.18728813559322036</v>
      </c>
      <c r="Q100" s="10">
        <v>0</v>
      </c>
      <c r="R100" s="10">
        <v>0</v>
      </c>
      <c r="S100" s="14">
        <v>0.18728813559322036</v>
      </c>
      <c r="T100" s="10">
        <v>0</v>
      </c>
      <c r="U100" s="10">
        <v>0.23644067796610174</v>
      </c>
      <c r="V100" s="10">
        <v>0.23644067796610174</v>
      </c>
      <c r="W100" s="10">
        <v>0.23644067796610174</v>
      </c>
      <c r="X100" s="10">
        <v>0.23644067796610174</v>
      </c>
      <c r="Y100" s="41">
        <v>0.18728813559322036</v>
      </c>
      <c r="Z100" s="3">
        <v>0.18728813559322036</v>
      </c>
      <c r="AA100" s="10"/>
      <c r="AB100" s="10"/>
      <c r="AC100" s="10"/>
      <c r="AD100" s="10"/>
      <c r="AE100" s="10"/>
      <c r="AF100" s="10"/>
      <c r="AG100" s="10">
        <v>0</v>
      </c>
      <c r="AH100" s="39">
        <v>0.18728813559322036</v>
      </c>
      <c r="AI100" s="10">
        <v>0.23644067796610174</v>
      </c>
      <c r="AJ100" s="10"/>
      <c r="AK100" s="3">
        <f t="shared" si="29"/>
        <v>0.23644067796610174</v>
      </c>
      <c r="AL100" s="3">
        <f t="shared" si="30"/>
        <v>0.18728813559322036</v>
      </c>
      <c r="AM100" s="12" t="s">
        <v>352</v>
      </c>
      <c r="AN100" s="22"/>
    </row>
    <row r="101" spans="1:40" ht="105" x14ac:dyDescent="0.25">
      <c r="A101" s="35" t="s">
        <v>119</v>
      </c>
      <c r="B101" s="44" t="s">
        <v>157</v>
      </c>
      <c r="C101" s="45" t="s">
        <v>131</v>
      </c>
      <c r="D101" s="45" t="s">
        <v>333</v>
      </c>
      <c r="E101" s="45">
        <v>2019</v>
      </c>
      <c r="F101" s="45">
        <v>2019</v>
      </c>
      <c r="G101" s="53">
        <v>2019</v>
      </c>
      <c r="H101" s="14">
        <v>0.25677966101694916</v>
      </c>
      <c r="I101" s="52">
        <v>0.25677966101694916</v>
      </c>
      <c r="J101" s="14"/>
      <c r="K101" s="10">
        <v>0.25677966101694916</v>
      </c>
      <c r="L101" s="41">
        <v>0</v>
      </c>
      <c r="M101" s="41">
        <v>0</v>
      </c>
      <c r="N101" s="52">
        <v>0.25677966101694916</v>
      </c>
      <c r="O101" s="41">
        <v>0</v>
      </c>
      <c r="P101" s="10"/>
      <c r="Q101" s="10"/>
      <c r="R101" s="10"/>
      <c r="S101" s="14"/>
      <c r="T101" s="10"/>
      <c r="U101" s="10">
        <v>0.25677966101694916</v>
      </c>
      <c r="V101" s="10">
        <v>0.25677966101694916</v>
      </c>
      <c r="W101" s="10">
        <v>0.25677966101694916</v>
      </c>
      <c r="X101" s="10">
        <v>0.25677966101694916</v>
      </c>
      <c r="Y101" s="41"/>
      <c r="Z101" s="3"/>
      <c r="AA101" s="10"/>
      <c r="AB101" s="10"/>
      <c r="AC101" s="10"/>
      <c r="AD101" s="10"/>
      <c r="AE101" s="10"/>
      <c r="AF101" s="10"/>
      <c r="AG101" s="10"/>
      <c r="AH101" s="10"/>
      <c r="AI101" s="10">
        <v>0.25677966101694916</v>
      </c>
      <c r="AJ101" s="10"/>
      <c r="AK101" s="3">
        <f t="shared" si="29"/>
        <v>0.25677966101694916</v>
      </c>
      <c r="AL101" s="3">
        <f t="shared" si="30"/>
        <v>0</v>
      </c>
      <c r="AM101" s="12" t="s">
        <v>357</v>
      </c>
      <c r="AN101" s="22"/>
    </row>
    <row r="102" spans="1:40" ht="45" x14ac:dyDescent="0.25">
      <c r="A102" s="35" t="s">
        <v>119</v>
      </c>
      <c r="B102" s="44" t="s">
        <v>158</v>
      </c>
      <c r="C102" s="45" t="s">
        <v>132</v>
      </c>
      <c r="D102" s="45" t="s">
        <v>333</v>
      </c>
      <c r="E102" s="45">
        <v>2019</v>
      </c>
      <c r="F102" s="45">
        <v>2019</v>
      </c>
      <c r="G102" s="53">
        <v>2019</v>
      </c>
      <c r="H102" s="14">
        <v>0.2550847457627119</v>
      </c>
      <c r="I102" s="52">
        <v>0.2550847457627119</v>
      </c>
      <c r="J102" s="14"/>
      <c r="K102" s="10">
        <v>0.2550847457627119</v>
      </c>
      <c r="L102" s="41">
        <v>0</v>
      </c>
      <c r="M102" s="41">
        <v>0</v>
      </c>
      <c r="N102" s="52">
        <v>0.2550847457627119</v>
      </c>
      <c r="O102" s="41">
        <v>0</v>
      </c>
      <c r="P102" s="10">
        <f t="shared" si="33"/>
        <v>0.2550847457627119</v>
      </c>
      <c r="Q102" s="10">
        <v>0</v>
      </c>
      <c r="R102" s="10">
        <v>0</v>
      </c>
      <c r="S102" s="14">
        <v>0.2550847457627119</v>
      </c>
      <c r="T102" s="10">
        <v>0</v>
      </c>
      <c r="U102" s="10">
        <v>0.2550847457627119</v>
      </c>
      <c r="V102" s="10">
        <v>0.2550847457627119</v>
      </c>
      <c r="W102" s="10">
        <v>0.2550847457627119</v>
      </c>
      <c r="X102" s="10">
        <v>0.2550847457627119</v>
      </c>
      <c r="Y102" s="41">
        <v>0.2550847457627119</v>
      </c>
      <c r="Z102" s="3">
        <v>0.2550847457627119</v>
      </c>
      <c r="AA102" s="10"/>
      <c r="AB102" s="10"/>
      <c r="AC102" s="10"/>
      <c r="AD102" s="10"/>
      <c r="AE102" s="10"/>
      <c r="AF102" s="10"/>
      <c r="AG102" s="10"/>
      <c r="AH102" s="10"/>
      <c r="AI102" s="10">
        <v>0.2550847457627119</v>
      </c>
      <c r="AJ102" s="10">
        <v>0.2550847457627119</v>
      </c>
      <c r="AK102" s="3">
        <f t="shared" si="29"/>
        <v>0.2550847457627119</v>
      </c>
      <c r="AL102" s="3">
        <f t="shared" si="30"/>
        <v>0.2550847457627119</v>
      </c>
      <c r="AM102" s="12" t="s">
        <v>350</v>
      </c>
      <c r="AN102" s="22"/>
    </row>
    <row r="103" spans="1:40" ht="45" x14ac:dyDescent="0.25">
      <c r="A103" s="35" t="s">
        <v>119</v>
      </c>
      <c r="B103" s="44" t="s">
        <v>309</v>
      </c>
      <c r="C103" s="45" t="s">
        <v>134</v>
      </c>
      <c r="D103" s="45" t="s">
        <v>333</v>
      </c>
      <c r="E103" s="45">
        <v>2019</v>
      </c>
      <c r="F103" s="45">
        <v>2019</v>
      </c>
      <c r="G103" s="53">
        <v>2018</v>
      </c>
      <c r="H103" s="14">
        <v>6.7796610169491525E-2</v>
      </c>
      <c r="I103" s="52">
        <v>6.7796610169491525E-2</v>
      </c>
      <c r="J103" s="14"/>
      <c r="K103" s="10">
        <v>6.7796610169491525E-2</v>
      </c>
      <c r="L103" s="41">
        <v>0</v>
      </c>
      <c r="M103" s="41">
        <v>0</v>
      </c>
      <c r="N103" s="52">
        <v>6.7796610169491525E-2</v>
      </c>
      <c r="O103" s="41">
        <v>0</v>
      </c>
      <c r="P103" s="10">
        <f t="shared" si="33"/>
        <v>6.7796610169491525E-2</v>
      </c>
      <c r="Q103" s="10">
        <v>0</v>
      </c>
      <c r="R103" s="10">
        <v>0</v>
      </c>
      <c r="S103" s="14">
        <v>6.7796610169491525E-2</v>
      </c>
      <c r="T103" s="10">
        <v>0</v>
      </c>
      <c r="U103" s="10">
        <v>6.7796610169491525E-2</v>
      </c>
      <c r="V103" s="10">
        <v>6.7796610169491525E-2</v>
      </c>
      <c r="W103" s="10">
        <v>6.7796610169491525E-2</v>
      </c>
      <c r="X103" s="10">
        <v>6.7796610169491525E-2</v>
      </c>
      <c r="Y103" s="41">
        <v>6.7796610169491525E-2</v>
      </c>
      <c r="Z103" s="3">
        <v>6.7796610169491525E-2</v>
      </c>
      <c r="AA103" s="10"/>
      <c r="AB103" s="10"/>
      <c r="AC103" s="10"/>
      <c r="AD103" s="10"/>
      <c r="AE103" s="10"/>
      <c r="AF103" s="10"/>
      <c r="AG103" s="10"/>
      <c r="AH103" s="10"/>
      <c r="AI103" s="10">
        <v>6.7796610169491525E-2</v>
      </c>
      <c r="AJ103" s="10">
        <v>6.7796610169491525E-2</v>
      </c>
      <c r="AK103" s="3">
        <f t="shared" si="29"/>
        <v>6.7796610169491525E-2</v>
      </c>
      <c r="AL103" s="3">
        <f t="shared" si="30"/>
        <v>6.7796610169491525E-2</v>
      </c>
      <c r="AM103" s="12" t="s">
        <v>350</v>
      </c>
      <c r="AN103" s="22"/>
    </row>
    <row r="104" spans="1:40" ht="105" x14ac:dyDescent="0.25">
      <c r="A104" s="17" t="s">
        <v>119</v>
      </c>
      <c r="B104" s="44" t="s">
        <v>159</v>
      </c>
      <c r="C104" s="45" t="s">
        <v>136</v>
      </c>
      <c r="D104" s="45" t="s">
        <v>333</v>
      </c>
      <c r="E104" s="45">
        <v>2019</v>
      </c>
      <c r="F104" s="45">
        <v>2019</v>
      </c>
      <c r="G104" s="53">
        <v>2019</v>
      </c>
      <c r="H104" s="14">
        <v>1.5313559322033898</v>
      </c>
      <c r="I104" s="52">
        <v>1.5313559322033898</v>
      </c>
      <c r="J104" s="14"/>
      <c r="K104" s="10">
        <v>1.5313559322033898</v>
      </c>
      <c r="L104" s="41">
        <v>0</v>
      </c>
      <c r="M104" s="41">
        <v>0</v>
      </c>
      <c r="N104" s="52">
        <v>1.5313559322033898</v>
      </c>
      <c r="O104" s="41">
        <v>0</v>
      </c>
      <c r="P104" s="10"/>
      <c r="Q104" s="10"/>
      <c r="R104" s="10"/>
      <c r="S104" s="14"/>
      <c r="T104" s="10"/>
      <c r="U104" s="10">
        <v>1.5313559322033898</v>
      </c>
      <c r="V104" s="10">
        <v>1.5313559322033898</v>
      </c>
      <c r="W104" s="10">
        <v>1.5313559322033898</v>
      </c>
      <c r="X104" s="10">
        <v>1.5313559322033898</v>
      </c>
      <c r="Y104" s="41"/>
      <c r="Z104" s="3"/>
      <c r="AA104" s="10"/>
      <c r="AB104" s="10"/>
      <c r="AC104" s="10"/>
      <c r="AD104" s="10"/>
      <c r="AE104" s="10"/>
      <c r="AF104" s="10"/>
      <c r="AG104" s="10"/>
      <c r="AH104" s="10"/>
      <c r="AI104" s="10">
        <v>1.5313559322033898</v>
      </c>
      <c r="AJ104" s="10"/>
      <c r="AK104" s="3">
        <f t="shared" si="29"/>
        <v>1.5313559322033898</v>
      </c>
      <c r="AL104" s="3">
        <f t="shared" si="30"/>
        <v>0</v>
      </c>
      <c r="AM104" s="12" t="s">
        <v>357</v>
      </c>
    </row>
    <row r="105" spans="1:40" ht="105" x14ac:dyDescent="0.25">
      <c r="A105" s="17" t="s">
        <v>119</v>
      </c>
      <c r="B105" s="44" t="s">
        <v>160</v>
      </c>
      <c r="C105" s="45" t="s">
        <v>138</v>
      </c>
      <c r="D105" s="45" t="s">
        <v>333</v>
      </c>
      <c r="E105" s="45">
        <v>2019</v>
      </c>
      <c r="F105" s="45">
        <v>2019</v>
      </c>
      <c r="G105" s="53">
        <v>2019</v>
      </c>
      <c r="H105" s="14">
        <v>1.6101694915254237</v>
      </c>
      <c r="I105" s="52">
        <v>1.6101694915254237</v>
      </c>
      <c r="J105" s="14"/>
      <c r="K105" s="10">
        <v>1.6101694915254237</v>
      </c>
      <c r="L105" s="41">
        <v>0</v>
      </c>
      <c r="M105" s="41">
        <v>0</v>
      </c>
      <c r="N105" s="52">
        <v>1.6101694915254237</v>
      </c>
      <c r="O105" s="41">
        <v>0</v>
      </c>
      <c r="P105" s="10"/>
      <c r="Q105" s="10"/>
      <c r="R105" s="10"/>
      <c r="S105" s="14"/>
      <c r="T105" s="10"/>
      <c r="U105" s="10">
        <v>1.6101694915254237</v>
      </c>
      <c r="V105" s="10">
        <v>1.6101694915254237</v>
      </c>
      <c r="W105" s="10">
        <v>1.6101694915254237</v>
      </c>
      <c r="X105" s="10">
        <v>1.6101694915254237</v>
      </c>
      <c r="Y105" s="41"/>
      <c r="Z105" s="3"/>
      <c r="AA105" s="10"/>
      <c r="AB105" s="10"/>
      <c r="AC105" s="10">
        <v>1.5254237288135595</v>
      </c>
      <c r="AD105" s="10">
        <v>0</v>
      </c>
      <c r="AE105" s="10"/>
      <c r="AF105" s="10"/>
      <c r="AG105" s="10"/>
      <c r="AH105" s="10"/>
      <c r="AI105" s="10">
        <v>1.6101694915254237</v>
      </c>
      <c r="AJ105" s="10"/>
      <c r="AK105" s="3">
        <f t="shared" si="29"/>
        <v>1.6101694915254237</v>
      </c>
      <c r="AL105" s="3">
        <f t="shared" si="30"/>
        <v>0</v>
      </c>
      <c r="AM105" s="12" t="s">
        <v>357</v>
      </c>
    </row>
    <row r="106" spans="1:40" ht="60" x14ac:dyDescent="0.25">
      <c r="A106" s="17" t="s">
        <v>119</v>
      </c>
      <c r="B106" s="42" t="s">
        <v>290</v>
      </c>
      <c r="C106" s="45" t="s">
        <v>148</v>
      </c>
      <c r="D106" s="45" t="s">
        <v>335</v>
      </c>
      <c r="E106" s="45">
        <v>2017</v>
      </c>
      <c r="F106" s="45"/>
      <c r="G106" s="45">
        <v>2017</v>
      </c>
      <c r="H106" s="14"/>
      <c r="I106" s="52">
        <v>0.25338983050847458</v>
      </c>
      <c r="J106" s="14"/>
      <c r="K106" s="10"/>
      <c r="L106" s="10"/>
      <c r="M106" s="10"/>
      <c r="N106" s="10"/>
      <c r="O106" s="10"/>
      <c r="P106" s="10">
        <f t="shared" ref="P106:P111" si="34">Q106+R106+S106+T106</f>
        <v>0.253</v>
      </c>
      <c r="Q106" s="10">
        <v>0</v>
      </c>
      <c r="R106" s="10">
        <v>0</v>
      </c>
      <c r="S106" s="10">
        <v>0.253</v>
      </c>
      <c r="T106" s="10">
        <v>0</v>
      </c>
      <c r="U106" s="10">
        <v>0</v>
      </c>
      <c r="V106" s="10">
        <v>0</v>
      </c>
      <c r="W106" s="10">
        <v>0</v>
      </c>
      <c r="X106" s="10">
        <v>0</v>
      </c>
      <c r="Y106" s="41">
        <v>0</v>
      </c>
      <c r="Z106" s="3">
        <v>0</v>
      </c>
      <c r="AA106" s="10"/>
      <c r="AB106" s="10"/>
      <c r="AC106" s="10"/>
      <c r="AD106" s="10"/>
      <c r="AE106" s="10">
        <v>0</v>
      </c>
      <c r="AF106" s="10">
        <f>0.299/1.18</f>
        <v>0.25338983050847458</v>
      </c>
      <c r="AG106" s="10"/>
      <c r="AH106" s="10"/>
      <c r="AI106" s="10"/>
      <c r="AJ106" s="10"/>
      <c r="AK106" s="3">
        <f t="shared" si="29"/>
        <v>0.25338983050847458</v>
      </c>
      <c r="AL106" s="3">
        <f t="shared" si="30"/>
        <v>0.25338983050847458</v>
      </c>
      <c r="AM106" s="12" t="s">
        <v>349</v>
      </c>
    </row>
    <row r="107" spans="1:40" ht="60" x14ac:dyDescent="0.25">
      <c r="A107" s="17" t="s">
        <v>119</v>
      </c>
      <c r="B107" s="42" t="s">
        <v>312</v>
      </c>
      <c r="C107" s="45" t="s">
        <v>149</v>
      </c>
      <c r="D107" s="45" t="s">
        <v>335</v>
      </c>
      <c r="E107" s="45">
        <v>2017</v>
      </c>
      <c r="F107" s="45"/>
      <c r="G107" s="45">
        <v>2017</v>
      </c>
      <c r="H107" s="14"/>
      <c r="I107" s="52">
        <v>0.17830508474576273</v>
      </c>
      <c r="J107" s="14"/>
      <c r="K107" s="10"/>
      <c r="L107" s="10"/>
      <c r="M107" s="10"/>
      <c r="N107" s="10"/>
      <c r="O107" s="10"/>
      <c r="P107" s="10">
        <f t="shared" si="34"/>
        <v>0.17799999999999999</v>
      </c>
      <c r="Q107" s="10">
        <v>0</v>
      </c>
      <c r="R107" s="10">
        <v>0</v>
      </c>
      <c r="S107" s="10">
        <v>0.17799999999999999</v>
      </c>
      <c r="T107" s="10">
        <v>0</v>
      </c>
      <c r="U107" s="10">
        <v>0</v>
      </c>
      <c r="V107" s="10">
        <v>0</v>
      </c>
      <c r="W107" s="10">
        <v>0</v>
      </c>
      <c r="X107" s="10">
        <v>0</v>
      </c>
      <c r="Y107" s="41">
        <v>0</v>
      </c>
      <c r="Z107" s="3">
        <v>0</v>
      </c>
      <c r="AA107" s="10"/>
      <c r="AB107" s="10"/>
      <c r="AC107" s="10"/>
      <c r="AD107" s="10"/>
      <c r="AE107" s="10">
        <v>0</v>
      </c>
      <c r="AF107" s="10">
        <f>0.21/1.18</f>
        <v>0.17796610169491525</v>
      </c>
      <c r="AG107" s="10"/>
      <c r="AH107" s="10"/>
      <c r="AI107" s="10"/>
      <c r="AJ107" s="10"/>
      <c r="AK107" s="3">
        <f t="shared" si="29"/>
        <v>0.17796610169491525</v>
      </c>
      <c r="AL107" s="3">
        <f t="shared" si="30"/>
        <v>0.17796610169491525</v>
      </c>
      <c r="AM107" s="12" t="s">
        <v>349</v>
      </c>
    </row>
    <row r="108" spans="1:40" ht="60" x14ac:dyDescent="0.25">
      <c r="A108" s="17" t="s">
        <v>119</v>
      </c>
      <c r="B108" s="44" t="s">
        <v>161</v>
      </c>
      <c r="C108" s="45" t="s">
        <v>150</v>
      </c>
      <c r="D108" s="45" t="s">
        <v>335</v>
      </c>
      <c r="E108" s="45">
        <v>2016</v>
      </c>
      <c r="F108" s="45"/>
      <c r="G108" s="45">
        <v>2016</v>
      </c>
      <c r="H108" s="14"/>
      <c r="I108" s="52">
        <v>9.2372881355932204E-2</v>
      </c>
      <c r="J108" s="14"/>
      <c r="K108" s="10"/>
      <c r="L108" s="10"/>
      <c r="M108" s="10"/>
      <c r="N108" s="10"/>
      <c r="O108" s="10"/>
      <c r="P108" s="10">
        <f t="shared" si="34"/>
        <v>9.1999999999999998E-2</v>
      </c>
      <c r="Q108" s="10">
        <v>0</v>
      </c>
      <c r="R108" s="10">
        <v>0</v>
      </c>
      <c r="S108" s="10">
        <v>9.1999999999999998E-2</v>
      </c>
      <c r="T108" s="10">
        <v>0</v>
      </c>
      <c r="U108" s="10">
        <v>0</v>
      </c>
      <c r="V108" s="10">
        <v>0</v>
      </c>
      <c r="W108" s="10">
        <v>0</v>
      </c>
      <c r="X108" s="10">
        <v>0</v>
      </c>
      <c r="Y108" s="41">
        <v>0</v>
      </c>
      <c r="Z108" s="3">
        <v>0</v>
      </c>
      <c r="AA108" s="10"/>
      <c r="AB108" s="10"/>
      <c r="AC108" s="10">
        <v>0</v>
      </c>
      <c r="AD108" s="10">
        <f>0.109/1.18</f>
        <v>9.2372881355932204E-2</v>
      </c>
      <c r="AE108" s="10"/>
      <c r="AF108" s="10"/>
      <c r="AG108" s="10"/>
      <c r="AH108" s="10"/>
      <c r="AI108" s="10"/>
      <c r="AJ108" s="10"/>
      <c r="AK108" s="3">
        <f t="shared" si="29"/>
        <v>9.2372881355932204E-2</v>
      </c>
      <c r="AL108" s="3">
        <f t="shared" si="30"/>
        <v>9.2372881355932204E-2</v>
      </c>
      <c r="AM108" s="12" t="s">
        <v>349</v>
      </c>
    </row>
    <row r="109" spans="1:40" ht="60" x14ac:dyDescent="0.25">
      <c r="A109" s="17" t="s">
        <v>119</v>
      </c>
      <c r="B109" s="44" t="s">
        <v>162</v>
      </c>
      <c r="C109" s="45" t="s">
        <v>151</v>
      </c>
      <c r="D109" s="45" t="s">
        <v>335</v>
      </c>
      <c r="E109" s="45">
        <v>2016</v>
      </c>
      <c r="F109" s="45"/>
      <c r="G109" s="45">
        <v>2016</v>
      </c>
      <c r="H109" s="14"/>
      <c r="I109" s="52">
        <v>9.2372881355932204E-2</v>
      </c>
      <c r="J109" s="14"/>
      <c r="K109" s="10"/>
      <c r="L109" s="10"/>
      <c r="M109" s="10"/>
      <c r="N109" s="10"/>
      <c r="O109" s="10"/>
      <c r="P109" s="10">
        <f t="shared" si="34"/>
        <v>9.1999999999999998E-2</v>
      </c>
      <c r="Q109" s="10">
        <v>0</v>
      </c>
      <c r="R109" s="10">
        <v>0</v>
      </c>
      <c r="S109" s="10">
        <v>9.1999999999999998E-2</v>
      </c>
      <c r="T109" s="10">
        <v>0</v>
      </c>
      <c r="U109" s="10">
        <v>0</v>
      </c>
      <c r="V109" s="10">
        <v>0</v>
      </c>
      <c r="W109" s="10">
        <v>0</v>
      </c>
      <c r="X109" s="10">
        <v>0</v>
      </c>
      <c r="Y109" s="41">
        <v>0</v>
      </c>
      <c r="Z109" s="3">
        <v>0</v>
      </c>
      <c r="AA109" s="10"/>
      <c r="AB109" s="10"/>
      <c r="AC109" s="10">
        <v>0</v>
      </c>
      <c r="AD109" s="10">
        <f>0.109/1.18</f>
        <v>9.2372881355932204E-2</v>
      </c>
      <c r="AE109" s="10"/>
      <c r="AF109" s="10"/>
      <c r="AG109" s="10"/>
      <c r="AH109" s="10"/>
      <c r="AI109" s="10"/>
      <c r="AJ109" s="10"/>
      <c r="AK109" s="3">
        <f t="shared" si="29"/>
        <v>9.2372881355932204E-2</v>
      </c>
      <c r="AL109" s="3">
        <f t="shared" si="30"/>
        <v>9.2372881355932204E-2</v>
      </c>
      <c r="AM109" s="12" t="s">
        <v>349</v>
      </c>
    </row>
    <row r="110" spans="1:40" ht="60" x14ac:dyDescent="0.25">
      <c r="A110" s="17" t="s">
        <v>119</v>
      </c>
      <c r="B110" s="44" t="s">
        <v>163</v>
      </c>
      <c r="C110" s="45" t="s">
        <v>152</v>
      </c>
      <c r="D110" s="45" t="s">
        <v>335</v>
      </c>
      <c r="E110" s="45">
        <v>2016</v>
      </c>
      <c r="F110" s="45"/>
      <c r="G110" s="45">
        <v>2016</v>
      </c>
      <c r="H110" s="14"/>
      <c r="I110" s="52">
        <v>0.28813559322033899</v>
      </c>
      <c r="J110" s="14"/>
      <c r="K110" s="10"/>
      <c r="L110" s="10"/>
      <c r="M110" s="10"/>
      <c r="N110" s="10"/>
      <c r="O110" s="10"/>
      <c r="P110" s="10">
        <f t="shared" si="34"/>
        <v>0.28799999999999998</v>
      </c>
      <c r="Q110" s="10">
        <v>0</v>
      </c>
      <c r="R110" s="10">
        <v>0</v>
      </c>
      <c r="S110" s="10">
        <v>0.28799999999999998</v>
      </c>
      <c r="T110" s="10">
        <v>0</v>
      </c>
      <c r="U110" s="10">
        <v>0</v>
      </c>
      <c r="V110" s="10">
        <v>0</v>
      </c>
      <c r="W110" s="10">
        <v>0</v>
      </c>
      <c r="X110" s="10">
        <v>0</v>
      </c>
      <c r="Y110" s="41">
        <v>0</v>
      </c>
      <c r="Z110" s="3">
        <v>0</v>
      </c>
      <c r="AA110" s="10"/>
      <c r="AB110" s="10"/>
      <c r="AC110" s="10">
        <v>0</v>
      </c>
      <c r="AD110" s="10">
        <f>0.34/1.18</f>
        <v>0.28813559322033899</v>
      </c>
      <c r="AE110" s="10"/>
      <c r="AF110" s="10"/>
      <c r="AG110" s="10"/>
      <c r="AH110" s="10"/>
      <c r="AI110" s="10"/>
      <c r="AJ110" s="10"/>
      <c r="AK110" s="3">
        <f t="shared" si="29"/>
        <v>0.28813559322033899</v>
      </c>
      <c r="AL110" s="3">
        <f t="shared" si="30"/>
        <v>0.28813559322033899</v>
      </c>
      <c r="AM110" s="12" t="s">
        <v>349</v>
      </c>
    </row>
    <row r="111" spans="1:40" ht="105" x14ac:dyDescent="0.25">
      <c r="A111" s="17" t="s">
        <v>119</v>
      </c>
      <c r="B111" s="42" t="s">
        <v>300</v>
      </c>
      <c r="C111" s="45" t="s">
        <v>153</v>
      </c>
      <c r="D111" s="45" t="s">
        <v>333</v>
      </c>
      <c r="E111" s="45">
        <v>2018</v>
      </c>
      <c r="F111" s="45"/>
      <c r="G111" s="43">
        <v>2018</v>
      </c>
      <c r="H111" s="14"/>
      <c r="I111" s="52">
        <v>1.5686440677966103</v>
      </c>
      <c r="J111" s="14"/>
      <c r="K111" s="10"/>
      <c r="L111" s="10"/>
      <c r="M111" s="10"/>
      <c r="N111" s="10"/>
      <c r="O111" s="10"/>
      <c r="P111" s="10">
        <f t="shared" si="34"/>
        <v>1.5686440677966103</v>
      </c>
      <c r="Q111" s="10">
        <v>0</v>
      </c>
      <c r="R111" s="10">
        <v>0</v>
      </c>
      <c r="S111" s="10">
        <v>1.5686440677966103</v>
      </c>
      <c r="T111" s="10">
        <v>0</v>
      </c>
      <c r="U111" s="10">
        <v>0</v>
      </c>
      <c r="V111" s="10">
        <v>0</v>
      </c>
      <c r="W111" s="10">
        <v>0</v>
      </c>
      <c r="X111" s="10">
        <v>0</v>
      </c>
      <c r="Y111" s="41">
        <v>1.5686440677966103</v>
      </c>
      <c r="Z111" s="3">
        <v>1.5686440677966103</v>
      </c>
      <c r="AA111" s="10"/>
      <c r="AB111" s="10"/>
      <c r="AC111" s="10"/>
      <c r="AD111" s="10"/>
      <c r="AE111" s="10"/>
      <c r="AF111" s="10"/>
      <c r="AG111" s="10">
        <v>0</v>
      </c>
      <c r="AH111" s="39">
        <v>1.5686440677966103</v>
      </c>
      <c r="AI111" s="10"/>
      <c r="AJ111" s="10"/>
      <c r="AK111" s="3">
        <f t="shared" si="29"/>
        <v>0</v>
      </c>
      <c r="AL111" s="3">
        <f t="shared" si="30"/>
        <v>1.5686440677966103</v>
      </c>
      <c r="AM111" s="12" t="s">
        <v>353</v>
      </c>
    </row>
    <row r="112" spans="1:40" ht="45" x14ac:dyDescent="0.25">
      <c r="A112" s="5" t="s">
        <v>164</v>
      </c>
      <c r="B112" s="6" t="s">
        <v>165</v>
      </c>
      <c r="C112" s="11" t="s">
        <v>10</v>
      </c>
      <c r="D112" s="11"/>
      <c r="E112" s="11"/>
      <c r="F112" s="11"/>
      <c r="G112" s="11"/>
      <c r="H112" s="2">
        <v>15.497457627118644</v>
      </c>
      <c r="I112" s="2">
        <v>15.579661016949153</v>
      </c>
      <c r="J112" s="2">
        <v>0</v>
      </c>
      <c r="K112" s="2">
        <v>15.497457627118644</v>
      </c>
      <c r="L112" s="2">
        <v>1.3067796610169493</v>
      </c>
      <c r="M112" s="2">
        <v>14.190677966101696</v>
      </c>
      <c r="N112" s="2">
        <v>0</v>
      </c>
      <c r="O112" s="2">
        <v>0</v>
      </c>
      <c r="P112" s="2">
        <f>P113+P119</f>
        <v>2.5118135593220341</v>
      </c>
      <c r="Q112" s="2">
        <f t="shared" ref="Q112:AL112" si="35">Q113+Q119</f>
        <v>0</v>
      </c>
      <c r="R112" s="2">
        <f t="shared" si="35"/>
        <v>2.5118135593220341</v>
      </c>
      <c r="S112" s="2">
        <f t="shared" si="35"/>
        <v>0</v>
      </c>
      <c r="T112" s="2">
        <f t="shared" si="35"/>
        <v>0</v>
      </c>
      <c r="U112" s="2">
        <f t="shared" si="35"/>
        <v>15.497457627118644</v>
      </c>
      <c r="V112" s="2">
        <f t="shared" si="35"/>
        <v>15.497457627118644</v>
      </c>
      <c r="W112" s="2">
        <f t="shared" si="35"/>
        <v>15.243220338983051</v>
      </c>
      <c r="X112" s="2">
        <f t="shared" si="35"/>
        <v>15.243220338983051</v>
      </c>
      <c r="Y112" s="2">
        <f t="shared" si="35"/>
        <v>1.5788135593220338</v>
      </c>
      <c r="Z112" s="2">
        <f t="shared" si="35"/>
        <v>1.5788135593220338</v>
      </c>
      <c r="AA112" s="2">
        <f t="shared" si="35"/>
        <v>0</v>
      </c>
      <c r="AB112" s="2">
        <f t="shared" si="35"/>
        <v>0</v>
      </c>
      <c r="AC112" s="2">
        <f t="shared" si="35"/>
        <v>0</v>
      </c>
      <c r="AD112" s="2">
        <f t="shared" si="35"/>
        <v>0.11186440677966103</v>
      </c>
      <c r="AE112" s="2">
        <f t="shared" si="35"/>
        <v>0.25423728813559321</v>
      </c>
      <c r="AF112" s="2">
        <f t="shared" si="35"/>
        <v>0.82118644067796609</v>
      </c>
      <c r="AG112" s="2">
        <f t="shared" si="35"/>
        <v>2.1754237288135596</v>
      </c>
      <c r="AH112" s="2">
        <f t="shared" si="35"/>
        <v>1.5788135593220338</v>
      </c>
      <c r="AI112" s="2">
        <f t="shared" si="35"/>
        <v>13.067796610169491</v>
      </c>
      <c r="AJ112" s="2">
        <f t="shared" si="35"/>
        <v>0</v>
      </c>
      <c r="AK112" s="2">
        <f t="shared" si="35"/>
        <v>16.176271186440676</v>
      </c>
      <c r="AL112" s="2">
        <f t="shared" si="35"/>
        <v>2.5118644067796607</v>
      </c>
      <c r="AM112" s="40"/>
    </row>
    <row r="113" spans="1:39" ht="30" x14ac:dyDescent="0.25">
      <c r="A113" s="5" t="s">
        <v>166</v>
      </c>
      <c r="B113" s="6" t="s">
        <v>167</v>
      </c>
      <c r="C113" s="11" t="s">
        <v>10</v>
      </c>
      <c r="D113" s="11"/>
      <c r="E113" s="11"/>
      <c r="F113" s="11"/>
      <c r="G113" s="11"/>
      <c r="H113" s="2">
        <v>15.497457627118644</v>
      </c>
      <c r="I113" s="2">
        <v>15.579661016949153</v>
      </c>
      <c r="J113" s="2">
        <v>0</v>
      </c>
      <c r="K113" s="2">
        <v>15.497457627118644</v>
      </c>
      <c r="L113" s="2">
        <v>1.3067796610169493</v>
      </c>
      <c r="M113" s="2">
        <v>14.190677966101696</v>
      </c>
      <c r="N113" s="2">
        <v>0</v>
      </c>
      <c r="O113" s="2">
        <v>0</v>
      </c>
      <c r="P113" s="2">
        <f>SUM(P114:P118)</f>
        <v>2.5118135593220341</v>
      </c>
      <c r="Q113" s="2">
        <f t="shared" ref="Q113:AL113" si="36">SUM(Q114:Q118)</f>
        <v>0</v>
      </c>
      <c r="R113" s="2">
        <f t="shared" si="36"/>
        <v>2.5118135593220341</v>
      </c>
      <c r="S113" s="2">
        <f t="shared" si="36"/>
        <v>0</v>
      </c>
      <c r="T113" s="2">
        <f t="shared" si="36"/>
        <v>0</v>
      </c>
      <c r="U113" s="2">
        <f t="shared" si="36"/>
        <v>15.497457627118644</v>
      </c>
      <c r="V113" s="2">
        <f t="shared" si="36"/>
        <v>15.497457627118644</v>
      </c>
      <c r="W113" s="2">
        <f t="shared" si="36"/>
        <v>15.243220338983051</v>
      </c>
      <c r="X113" s="2">
        <f t="shared" si="36"/>
        <v>15.243220338983051</v>
      </c>
      <c r="Y113" s="2">
        <f t="shared" si="36"/>
        <v>1.5788135593220338</v>
      </c>
      <c r="Z113" s="2">
        <f t="shared" si="36"/>
        <v>1.5788135593220338</v>
      </c>
      <c r="AA113" s="2">
        <f t="shared" si="36"/>
        <v>0</v>
      </c>
      <c r="AB113" s="2">
        <f t="shared" si="36"/>
        <v>0</v>
      </c>
      <c r="AC113" s="2">
        <f t="shared" si="36"/>
        <v>0</v>
      </c>
      <c r="AD113" s="2">
        <f t="shared" si="36"/>
        <v>0.11186440677966103</v>
      </c>
      <c r="AE113" s="2">
        <f t="shared" si="36"/>
        <v>0.25423728813559321</v>
      </c>
      <c r="AF113" s="2">
        <f t="shared" si="36"/>
        <v>0.82118644067796609</v>
      </c>
      <c r="AG113" s="2">
        <f t="shared" si="36"/>
        <v>2.1754237288135596</v>
      </c>
      <c r="AH113" s="2">
        <f t="shared" si="36"/>
        <v>1.5788135593220338</v>
      </c>
      <c r="AI113" s="2">
        <f t="shared" si="36"/>
        <v>13.067796610169491</v>
      </c>
      <c r="AJ113" s="2">
        <f t="shared" si="36"/>
        <v>0</v>
      </c>
      <c r="AK113" s="2">
        <f t="shared" si="36"/>
        <v>16.176271186440676</v>
      </c>
      <c r="AL113" s="2">
        <f t="shared" si="36"/>
        <v>2.5118644067796607</v>
      </c>
      <c r="AM113" s="40"/>
    </row>
    <row r="114" spans="1:39" s="22" customFormat="1" ht="45" x14ac:dyDescent="0.25">
      <c r="A114" s="35" t="s">
        <v>166</v>
      </c>
      <c r="B114" s="44" t="s">
        <v>168</v>
      </c>
      <c r="C114" s="45" t="s">
        <v>140</v>
      </c>
      <c r="D114" s="45" t="s">
        <v>333</v>
      </c>
      <c r="E114" s="45">
        <v>2018</v>
      </c>
      <c r="F114" s="45">
        <v>2018</v>
      </c>
      <c r="G114" s="43">
        <v>2018</v>
      </c>
      <c r="H114" s="14">
        <v>1.2203389830508475</v>
      </c>
      <c r="I114" s="52">
        <v>0.8491525423728814</v>
      </c>
      <c r="J114" s="10"/>
      <c r="K114" s="39">
        <v>1.2203389830508475</v>
      </c>
      <c r="L114" s="41">
        <v>0</v>
      </c>
      <c r="M114" s="52">
        <v>1.2203389830508475</v>
      </c>
      <c r="N114" s="10">
        <v>0</v>
      </c>
      <c r="O114" s="10">
        <v>0</v>
      </c>
      <c r="P114" s="39">
        <f>Q114+R114+S114+T114</f>
        <v>0.8491525423728814</v>
      </c>
      <c r="Q114" s="39">
        <v>0</v>
      </c>
      <c r="R114" s="14">
        <v>0.8491525423728814</v>
      </c>
      <c r="S114" s="39">
        <v>0</v>
      </c>
      <c r="T114" s="10">
        <v>0</v>
      </c>
      <c r="U114" s="10">
        <v>1.2203389830508475</v>
      </c>
      <c r="V114" s="10">
        <v>1.2203389830508475</v>
      </c>
      <c r="W114" s="10">
        <v>1.2203389830508475</v>
      </c>
      <c r="X114" s="10">
        <v>1.2203389830508475</v>
      </c>
      <c r="Y114" s="41">
        <v>0.8491525423728814</v>
      </c>
      <c r="Z114" s="3">
        <v>0.8491525423728814</v>
      </c>
      <c r="AA114" s="10"/>
      <c r="AB114" s="10"/>
      <c r="AC114" s="10"/>
      <c r="AD114" s="10"/>
      <c r="AE114" s="10"/>
      <c r="AF114" s="10"/>
      <c r="AG114" s="10">
        <v>1.2203389830508475</v>
      </c>
      <c r="AH114" s="39">
        <v>0.8491525423728814</v>
      </c>
      <c r="AI114" s="10"/>
      <c r="AJ114" s="10"/>
      <c r="AK114" s="3">
        <f t="shared" ref="AK114:AK118" si="37">AD114+AF114+AG114+AI114</f>
        <v>1.2203389830508475</v>
      </c>
      <c r="AL114" s="3">
        <f t="shared" ref="AL114:AL118" si="38">AD114+AF114+AH114+AJ114</f>
        <v>0.8491525423728814</v>
      </c>
      <c r="AM114" s="12" t="s">
        <v>351</v>
      </c>
    </row>
    <row r="115" spans="1:39" ht="60" x14ac:dyDescent="0.25">
      <c r="A115" s="17" t="s">
        <v>166</v>
      </c>
      <c r="B115" s="44" t="s">
        <v>169</v>
      </c>
      <c r="C115" s="45" t="s">
        <v>142</v>
      </c>
      <c r="D115" s="45" t="s">
        <v>335</v>
      </c>
      <c r="E115" s="45">
        <v>2017</v>
      </c>
      <c r="F115" s="45">
        <v>2017</v>
      </c>
      <c r="G115" s="45">
        <v>2017</v>
      </c>
      <c r="H115" s="14">
        <v>0.25423728813559321</v>
      </c>
      <c r="I115" s="52">
        <v>0.82118644067796609</v>
      </c>
      <c r="J115" s="10"/>
      <c r="K115" s="39">
        <v>0.25423728813559321</v>
      </c>
      <c r="L115" s="41">
        <v>0</v>
      </c>
      <c r="M115" s="52">
        <v>0.25423728813559321</v>
      </c>
      <c r="N115" s="10">
        <v>0</v>
      </c>
      <c r="O115" s="10">
        <v>0</v>
      </c>
      <c r="P115" s="39">
        <f t="shared" ref="P115:P118" si="39">Q115+R115+S115+T115</f>
        <v>0.82099999999999995</v>
      </c>
      <c r="Q115" s="39">
        <v>0</v>
      </c>
      <c r="R115" s="39">
        <v>0.82099999999999995</v>
      </c>
      <c r="S115" s="39">
        <v>0</v>
      </c>
      <c r="T115" s="10">
        <v>0</v>
      </c>
      <c r="U115" s="10">
        <v>0.25423728813559321</v>
      </c>
      <c r="V115" s="10">
        <v>0.25423728813559321</v>
      </c>
      <c r="W115" s="10">
        <v>0</v>
      </c>
      <c r="X115" s="10">
        <v>0</v>
      </c>
      <c r="Y115" s="41">
        <v>0</v>
      </c>
      <c r="Z115" s="3">
        <v>0</v>
      </c>
      <c r="AA115" s="10"/>
      <c r="AB115" s="10"/>
      <c r="AC115" s="10"/>
      <c r="AD115" s="10"/>
      <c r="AE115" s="10">
        <v>0.25423728813559321</v>
      </c>
      <c r="AF115" s="10">
        <f>0.969/1.18</f>
        <v>0.82118644067796609</v>
      </c>
      <c r="AG115" s="10"/>
      <c r="AH115" s="10"/>
      <c r="AI115" s="10"/>
      <c r="AJ115" s="10"/>
      <c r="AK115" s="3">
        <f t="shared" si="37"/>
        <v>0.82118644067796609</v>
      </c>
      <c r="AL115" s="3">
        <f t="shared" si="38"/>
        <v>0.82118644067796609</v>
      </c>
      <c r="AM115" s="12" t="s">
        <v>349</v>
      </c>
    </row>
    <row r="116" spans="1:39" ht="45" x14ac:dyDescent="0.25">
      <c r="A116" s="17" t="s">
        <v>166</v>
      </c>
      <c r="B116" s="44" t="s">
        <v>170</v>
      </c>
      <c r="C116" s="45" t="s">
        <v>144</v>
      </c>
      <c r="D116" s="45" t="s">
        <v>333</v>
      </c>
      <c r="E116" s="45">
        <v>2018</v>
      </c>
      <c r="F116" s="45">
        <v>2018</v>
      </c>
      <c r="G116" s="43">
        <v>2018</v>
      </c>
      <c r="H116" s="14">
        <v>0.95508474576271196</v>
      </c>
      <c r="I116" s="52">
        <v>0.72966101694915253</v>
      </c>
      <c r="J116" s="10"/>
      <c r="K116" s="39">
        <v>0.95508474576271196</v>
      </c>
      <c r="L116" s="41">
        <v>0</v>
      </c>
      <c r="M116" s="52">
        <v>0.95508474576271196</v>
      </c>
      <c r="N116" s="10">
        <v>0</v>
      </c>
      <c r="O116" s="10">
        <v>0</v>
      </c>
      <c r="P116" s="39">
        <f t="shared" si="39"/>
        <v>0.72966101694915253</v>
      </c>
      <c r="Q116" s="39">
        <v>0</v>
      </c>
      <c r="R116" s="14">
        <v>0.72966101694915253</v>
      </c>
      <c r="S116" s="39">
        <v>0</v>
      </c>
      <c r="T116" s="10">
        <v>0</v>
      </c>
      <c r="U116" s="10">
        <v>0.95508474576271196</v>
      </c>
      <c r="V116" s="10">
        <v>0.95508474576271196</v>
      </c>
      <c r="W116" s="10">
        <v>0.95508474576271196</v>
      </c>
      <c r="X116" s="10">
        <v>0.95508474576271196</v>
      </c>
      <c r="Y116" s="41">
        <v>0.72966101694915253</v>
      </c>
      <c r="Z116" s="3">
        <v>0.72966101694915253</v>
      </c>
      <c r="AA116" s="10"/>
      <c r="AB116" s="10"/>
      <c r="AC116" s="10"/>
      <c r="AD116" s="10"/>
      <c r="AE116" s="10"/>
      <c r="AF116" s="10"/>
      <c r="AG116" s="10">
        <v>0.95508474576271196</v>
      </c>
      <c r="AH116" s="39">
        <v>0.72966101694915253</v>
      </c>
      <c r="AI116" s="10"/>
      <c r="AJ116" s="10"/>
      <c r="AK116" s="3">
        <f t="shared" si="37"/>
        <v>0.95508474576271196</v>
      </c>
      <c r="AL116" s="3">
        <f t="shared" si="38"/>
        <v>0.72966101694915253</v>
      </c>
      <c r="AM116" s="12" t="s">
        <v>351</v>
      </c>
    </row>
    <row r="117" spans="1:39" ht="105" x14ac:dyDescent="0.25">
      <c r="A117" s="17" t="s">
        <v>166</v>
      </c>
      <c r="B117" s="44" t="s">
        <v>172</v>
      </c>
      <c r="C117" s="45" t="s">
        <v>146</v>
      </c>
      <c r="D117" s="45" t="s">
        <v>333</v>
      </c>
      <c r="E117" s="45">
        <v>2019</v>
      </c>
      <c r="F117" s="45">
        <v>2019</v>
      </c>
      <c r="G117" s="53">
        <v>2019</v>
      </c>
      <c r="H117" s="14">
        <v>13.067796610169491</v>
      </c>
      <c r="I117" s="52">
        <v>13.067796610169491</v>
      </c>
      <c r="J117" s="10"/>
      <c r="K117" s="39">
        <v>13.067796610169491</v>
      </c>
      <c r="L117" s="41">
        <v>1.3067796610169493</v>
      </c>
      <c r="M117" s="41">
        <v>11.761016949152543</v>
      </c>
      <c r="N117" s="10">
        <v>0</v>
      </c>
      <c r="O117" s="10">
        <v>0</v>
      </c>
      <c r="P117" s="39"/>
      <c r="Q117" s="10"/>
      <c r="R117" s="10"/>
      <c r="S117" s="39"/>
      <c r="T117" s="10"/>
      <c r="U117" s="10">
        <v>13.067796610169491</v>
      </c>
      <c r="V117" s="10">
        <v>13.067796610169491</v>
      </c>
      <c r="W117" s="10">
        <v>13.067796610169491</v>
      </c>
      <c r="X117" s="10">
        <v>13.067796610169491</v>
      </c>
      <c r="Y117" s="41"/>
      <c r="Z117" s="3"/>
      <c r="AA117" s="10"/>
      <c r="AB117" s="10"/>
      <c r="AC117" s="10"/>
      <c r="AD117" s="10"/>
      <c r="AE117" s="10"/>
      <c r="AF117" s="10"/>
      <c r="AG117" s="10"/>
      <c r="AH117" s="10"/>
      <c r="AI117" s="10">
        <v>13.067796610169491</v>
      </c>
      <c r="AJ117" s="10"/>
      <c r="AK117" s="3">
        <f t="shared" si="37"/>
        <v>13.067796610169491</v>
      </c>
      <c r="AL117" s="3">
        <f t="shared" si="38"/>
        <v>0</v>
      </c>
      <c r="AM117" s="12" t="s">
        <v>357</v>
      </c>
    </row>
    <row r="118" spans="1:39" ht="60" x14ac:dyDescent="0.25">
      <c r="A118" s="17" t="s">
        <v>166</v>
      </c>
      <c r="B118" s="44" t="s">
        <v>171</v>
      </c>
      <c r="C118" s="45" t="s">
        <v>154</v>
      </c>
      <c r="D118" s="45" t="s">
        <v>335</v>
      </c>
      <c r="E118" s="45">
        <v>2016</v>
      </c>
      <c r="F118" s="45"/>
      <c r="G118" s="45">
        <v>2016</v>
      </c>
      <c r="H118" s="3"/>
      <c r="I118" s="52">
        <v>0.11186440677966103</v>
      </c>
      <c r="J118" s="10"/>
      <c r="K118" s="39"/>
      <c r="L118" s="10"/>
      <c r="M118" s="10"/>
      <c r="N118" s="10"/>
      <c r="O118" s="10"/>
      <c r="P118" s="39">
        <f t="shared" si="39"/>
        <v>0.112</v>
      </c>
      <c r="Q118" s="39">
        <v>0</v>
      </c>
      <c r="R118" s="39">
        <v>0.112</v>
      </c>
      <c r="S118" s="39">
        <v>0</v>
      </c>
      <c r="T118" s="10">
        <v>0</v>
      </c>
      <c r="U118" s="10">
        <v>0</v>
      </c>
      <c r="V118" s="10">
        <v>0</v>
      </c>
      <c r="W118" s="10">
        <v>0</v>
      </c>
      <c r="X118" s="10">
        <v>0</v>
      </c>
      <c r="Y118" s="41">
        <v>0</v>
      </c>
      <c r="Z118" s="3">
        <v>0</v>
      </c>
      <c r="AA118" s="10"/>
      <c r="AB118" s="10"/>
      <c r="AC118" s="10">
        <v>0</v>
      </c>
      <c r="AD118" s="10">
        <f>0.132/1.18</f>
        <v>0.11186440677966103</v>
      </c>
      <c r="AE118" s="10"/>
      <c r="AF118" s="10"/>
      <c r="AG118" s="10"/>
      <c r="AH118" s="10"/>
      <c r="AI118" s="10"/>
      <c r="AJ118" s="10"/>
      <c r="AK118" s="3">
        <f t="shared" si="37"/>
        <v>0.11186440677966103</v>
      </c>
      <c r="AL118" s="3">
        <f t="shared" si="38"/>
        <v>0.11186440677966103</v>
      </c>
      <c r="AM118" s="12" t="s">
        <v>349</v>
      </c>
    </row>
    <row r="119" spans="1:39" ht="30" x14ac:dyDescent="0.25">
      <c r="A119" s="5" t="s">
        <v>173</v>
      </c>
      <c r="B119" s="6" t="s">
        <v>174</v>
      </c>
      <c r="C119" s="11" t="s">
        <v>10</v>
      </c>
      <c r="D119" s="11"/>
      <c r="E119" s="11"/>
      <c r="F119" s="11"/>
      <c r="G119" s="11"/>
      <c r="H119" s="2"/>
      <c r="I119" s="2"/>
      <c r="J119" s="37"/>
      <c r="K119" s="50"/>
      <c r="L119" s="37"/>
      <c r="M119" s="37"/>
      <c r="N119" s="37"/>
      <c r="O119" s="37"/>
      <c r="P119" s="2"/>
      <c r="Q119" s="37"/>
      <c r="R119" s="37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F119" s="37"/>
      <c r="AG119" s="37"/>
      <c r="AH119" s="37"/>
      <c r="AI119" s="37"/>
      <c r="AJ119" s="37"/>
      <c r="AK119" s="37"/>
      <c r="AL119" s="37"/>
      <c r="AM119" s="10"/>
    </row>
    <row r="120" spans="1:39" ht="30" x14ac:dyDescent="0.25">
      <c r="A120" s="57" t="s">
        <v>175</v>
      </c>
      <c r="B120" s="58" t="s">
        <v>176</v>
      </c>
      <c r="C120" s="11" t="s">
        <v>10</v>
      </c>
      <c r="D120" s="53"/>
      <c r="E120" s="53"/>
      <c r="F120" s="11"/>
      <c r="G120" s="11"/>
      <c r="H120" s="2"/>
      <c r="I120" s="2"/>
      <c r="J120" s="37"/>
      <c r="K120" s="50"/>
      <c r="L120" s="37"/>
      <c r="M120" s="37"/>
      <c r="N120" s="37"/>
      <c r="O120" s="37"/>
      <c r="P120" s="2"/>
      <c r="Q120" s="37"/>
      <c r="R120" s="37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F120" s="37"/>
      <c r="AG120" s="37"/>
      <c r="AH120" s="37"/>
      <c r="AI120" s="37"/>
      <c r="AJ120" s="37"/>
      <c r="AK120" s="37"/>
      <c r="AL120" s="37"/>
      <c r="AM120" s="10"/>
    </row>
    <row r="121" spans="1:39" ht="30" x14ac:dyDescent="0.25">
      <c r="A121" s="17" t="s">
        <v>177</v>
      </c>
      <c r="B121" s="18" t="s">
        <v>178</v>
      </c>
      <c r="C121" s="56" t="s">
        <v>10</v>
      </c>
      <c r="D121" s="53"/>
      <c r="E121" s="53"/>
      <c r="F121" s="53"/>
      <c r="G121" s="53"/>
      <c r="H121" s="3"/>
      <c r="I121" s="3"/>
      <c r="J121" s="10"/>
      <c r="K121" s="39"/>
      <c r="L121" s="10"/>
      <c r="M121" s="10"/>
      <c r="N121" s="10"/>
      <c r="O121" s="10"/>
      <c r="P121" s="3"/>
      <c r="Q121" s="10"/>
      <c r="R121" s="10"/>
      <c r="S121" s="10"/>
      <c r="T121" s="10"/>
      <c r="U121" s="10"/>
      <c r="V121" s="10"/>
      <c r="W121" s="10"/>
      <c r="X121" s="10"/>
      <c r="Y121" s="10"/>
      <c r="Z121" s="3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3"/>
      <c r="AL121" s="3"/>
      <c r="AM121" s="10"/>
    </row>
    <row r="122" spans="1:39" ht="30" x14ac:dyDescent="0.25">
      <c r="A122" s="17" t="s">
        <v>179</v>
      </c>
      <c r="B122" s="18" t="s">
        <v>180</v>
      </c>
      <c r="C122" s="56" t="s">
        <v>10</v>
      </c>
      <c r="D122" s="53"/>
      <c r="E122" s="53"/>
      <c r="F122" s="53"/>
      <c r="G122" s="53"/>
      <c r="H122" s="3"/>
      <c r="I122" s="3"/>
      <c r="J122" s="10"/>
      <c r="K122" s="39"/>
      <c r="L122" s="10"/>
      <c r="M122" s="10"/>
      <c r="N122" s="10"/>
      <c r="O122" s="10"/>
      <c r="P122" s="3"/>
      <c r="Q122" s="10"/>
      <c r="R122" s="10"/>
      <c r="S122" s="10"/>
      <c r="T122" s="10"/>
      <c r="U122" s="10"/>
      <c r="V122" s="10"/>
      <c r="W122" s="10"/>
      <c r="X122" s="10"/>
      <c r="Y122" s="10"/>
      <c r="Z122" s="3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3"/>
      <c r="AL122" s="3"/>
      <c r="AM122" s="10"/>
    </row>
    <row r="123" spans="1:39" ht="30" x14ac:dyDescent="0.25">
      <c r="A123" s="17" t="s">
        <v>181</v>
      </c>
      <c r="B123" s="18" t="s">
        <v>182</v>
      </c>
      <c r="C123" s="56" t="s">
        <v>10</v>
      </c>
      <c r="D123" s="53"/>
      <c r="E123" s="53"/>
      <c r="F123" s="53"/>
      <c r="G123" s="53"/>
      <c r="H123" s="3"/>
      <c r="I123" s="3"/>
      <c r="J123" s="10"/>
      <c r="K123" s="39"/>
      <c r="L123" s="10"/>
      <c r="M123" s="10"/>
      <c r="N123" s="10"/>
      <c r="O123" s="10"/>
      <c r="P123" s="3"/>
      <c r="Q123" s="10"/>
      <c r="R123" s="10"/>
      <c r="S123" s="10"/>
      <c r="T123" s="10"/>
      <c r="U123" s="10"/>
      <c r="V123" s="10"/>
      <c r="W123" s="10"/>
      <c r="X123" s="10"/>
      <c r="Y123" s="10"/>
      <c r="Z123" s="3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3"/>
      <c r="AL123" s="3"/>
      <c r="AM123" s="10"/>
    </row>
    <row r="124" spans="1:39" ht="30" x14ac:dyDescent="0.25">
      <c r="A124" s="17" t="s">
        <v>183</v>
      </c>
      <c r="B124" s="18" t="s">
        <v>184</v>
      </c>
      <c r="C124" s="56" t="s">
        <v>10</v>
      </c>
      <c r="D124" s="53"/>
      <c r="E124" s="53"/>
      <c r="F124" s="53"/>
      <c r="G124" s="53"/>
      <c r="H124" s="3"/>
      <c r="I124" s="3"/>
      <c r="J124" s="10"/>
      <c r="K124" s="39"/>
      <c r="L124" s="10"/>
      <c r="M124" s="10"/>
      <c r="N124" s="10"/>
      <c r="O124" s="10"/>
      <c r="P124" s="3"/>
      <c r="Q124" s="10"/>
      <c r="R124" s="10"/>
      <c r="S124" s="10"/>
      <c r="T124" s="10"/>
      <c r="U124" s="10"/>
      <c r="V124" s="10"/>
      <c r="W124" s="10"/>
      <c r="X124" s="10"/>
      <c r="Y124" s="10"/>
      <c r="Z124" s="3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3"/>
      <c r="AL124" s="3"/>
      <c r="AM124" s="10"/>
    </row>
    <row r="125" spans="1:39" ht="45" x14ac:dyDescent="0.25">
      <c r="A125" s="17" t="s">
        <v>185</v>
      </c>
      <c r="B125" s="18" t="s">
        <v>186</v>
      </c>
      <c r="C125" s="56" t="s">
        <v>10</v>
      </c>
      <c r="D125" s="53"/>
      <c r="E125" s="53"/>
      <c r="F125" s="53"/>
      <c r="G125" s="53"/>
      <c r="H125" s="3"/>
      <c r="I125" s="3"/>
      <c r="J125" s="10"/>
      <c r="K125" s="39"/>
      <c r="L125" s="10"/>
      <c r="M125" s="10"/>
      <c r="N125" s="10"/>
      <c r="O125" s="10"/>
      <c r="P125" s="3"/>
      <c r="Q125" s="10"/>
      <c r="R125" s="10"/>
      <c r="S125" s="10"/>
      <c r="T125" s="10"/>
      <c r="U125" s="10"/>
      <c r="V125" s="10"/>
      <c r="W125" s="10"/>
      <c r="X125" s="10"/>
      <c r="Y125" s="10"/>
      <c r="Z125" s="3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3"/>
      <c r="AL125" s="3"/>
      <c r="AM125" s="10"/>
    </row>
    <row r="126" spans="1:39" ht="45" x14ac:dyDescent="0.25">
      <c r="A126" s="17" t="s">
        <v>187</v>
      </c>
      <c r="B126" s="18" t="s">
        <v>188</v>
      </c>
      <c r="C126" s="56" t="s">
        <v>10</v>
      </c>
      <c r="D126" s="53"/>
      <c r="E126" s="53"/>
      <c r="F126" s="53"/>
      <c r="G126" s="53"/>
      <c r="H126" s="3"/>
      <c r="I126" s="3"/>
      <c r="J126" s="10"/>
      <c r="K126" s="39"/>
      <c r="L126" s="10"/>
      <c r="M126" s="10"/>
      <c r="N126" s="10"/>
      <c r="O126" s="10"/>
      <c r="P126" s="3"/>
      <c r="Q126" s="10"/>
      <c r="R126" s="10"/>
      <c r="S126" s="10"/>
      <c r="T126" s="10"/>
      <c r="U126" s="10"/>
      <c r="V126" s="10"/>
      <c r="W126" s="10"/>
      <c r="X126" s="10"/>
      <c r="Y126" s="10"/>
      <c r="Z126" s="3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3"/>
      <c r="AL126" s="3"/>
      <c r="AM126" s="10"/>
    </row>
    <row r="127" spans="1:39" ht="45" x14ac:dyDescent="0.25">
      <c r="A127" s="17" t="s">
        <v>189</v>
      </c>
      <c r="B127" s="18" t="s">
        <v>190</v>
      </c>
      <c r="C127" s="56" t="s">
        <v>10</v>
      </c>
      <c r="D127" s="53"/>
      <c r="E127" s="53"/>
      <c r="F127" s="53"/>
      <c r="G127" s="53"/>
      <c r="H127" s="3"/>
      <c r="I127" s="3"/>
      <c r="J127" s="10"/>
      <c r="K127" s="39"/>
      <c r="L127" s="10"/>
      <c r="M127" s="10"/>
      <c r="N127" s="10"/>
      <c r="O127" s="10"/>
      <c r="P127" s="3"/>
      <c r="Q127" s="10"/>
      <c r="R127" s="10"/>
      <c r="S127" s="10"/>
      <c r="T127" s="10"/>
      <c r="U127" s="10"/>
      <c r="V127" s="10"/>
      <c r="W127" s="10"/>
      <c r="X127" s="10"/>
      <c r="Y127" s="10"/>
      <c r="Z127" s="3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3"/>
      <c r="AL127" s="3"/>
      <c r="AM127" s="10"/>
    </row>
    <row r="128" spans="1:39" ht="45" x14ac:dyDescent="0.25">
      <c r="A128" s="17" t="s">
        <v>191</v>
      </c>
      <c r="B128" s="18" t="s">
        <v>192</v>
      </c>
      <c r="C128" s="56" t="s">
        <v>10</v>
      </c>
      <c r="D128" s="53"/>
      <c r="E128" s="53"/>
      <c r="F128" s="53"/>
      <c r="G128" s="53"/>
      <c r="H128" s="3"/>
      <c r="I128" s="3"/>
      <c r="J128" s="10"/>
      <c r="K128" s="39"/>
      <c r="L128" s="10"/>
      <c r="M128" s="10"/>
      <c r="N128" s="10"/>
      <c r="O128" s="10"/>
      <c r="P128" s="3"/>
      <c r="Q128" s="10"/>
      <c r="R128" s="10"/>
      <c r="S128" s="10"/>
      <c r="T128" s="10"/>
      <c r="U128" s="10"/>
      <c r="V128" s="10"/>
      <c r="W128" s="10"/>
      <c r="X128" s="10"/>
      <c r="Y128" s="10"/>
      <c r="Z128" s="3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3"/>
      <c r="AL128" s="3"/>
      <c r="AM128" s="10"/>
    </row>
    <row r="129" spans="1:39" ht="45" x14ac:dyDescent="0.25">
      <c r="A129" s="17" t="s">
        <v>193</v>
      </c>
      <c r="B129" s="6" t="s">
        <v>194</v>
      </c>
      <c r="C129" s="11" t="s">
        <v>10</v>
      </c>
      <c r="D129" s="11"/>
      <c r="E129" s="11"/>
      <c r="F129" s="11"/>
      <c r="G129" s="11"/>
      <c r="H129" s="2"/>
      <c r="I129" s="2"/>
      <c r="J129" s="37"/>
      <c r="K129" s="50"/>
      <c r="L129" s="37"/>
      <c r="M129" s="37"/>
      <c r="N129" s="37"/>
      <c r="O129" s="37"/>
      <c r="P129" s="2"/>
      <c r="Q129" s="37"/>
      <c r="R129" s="37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F129" s="37"/>
      <c r="AG129" s="37"/>
      <c r="AH129" s="37"/>
      <c r="AI129" s="37"/>
      <c r="AJ129" s="37"/>
      <c r="AK129" s="37"/>
      <c r="AL129" s="37"/>
      <c r="AM129" s="10"/>
    </row>
    <row r="130" spans="1:39" ht="30" x14ac:dyDescent="0.25">
      <c r="A130" s="17" t="s">
        <v>195</v>
      </c>
      <c r="B130" s="18" t="s">
        <v>196</v>
      </c>
      <c r="C130" s="16" t="s">
        <v>10</v>
      </c>
      <c r="D130" s="53"/>
      <c r="E130" s="53"/>
      <c r="F130" s="53"/>
      <c r="G130" s="53"/>
      <c r="H130" s="3"/>
      <c r="I130" s="3"/>
      <c r="J130" s="10"/>
      <c r="K130" s="39"/>
      <c r="L130" s="10"/>
      <c r="M130" s="10"/>
      <c r="N130" s="10"/>
      <c r="O130" s="10"/>
      <c r="P130" s="3"/>
      <c r="Q130" s="10"/>
      <c r="R130" s="10"/>
      <c r="S130" s="10"/>
      <c r="T130" s="10"/>
      <c r="U130" s="10"/>
      <c r="V130" s="10"/>
      <c r="W130" s="10"/>
      <c r="X130" s="10"/>
      <c r="Y130" s="10"/>
      <c r="Z130" s="3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3"/>
      <c r="AL130" s="3"/>
      <c r="AM130" s="10"/>
    </row>
    <row r="131" spans="1:39" ht="30" x14ac:dyDescent="0.25">
      <c r="A131" s="17" t="s">
        <v>197</v>
      </c>
      <c r="B131" s="18" t="s">
        <v>198</v>
      </c>
      <c r="C131" s="16" t="s">
        <v>10</v>
      </c>
      <c r="D131" s="53"/>
      <c r="E131" s="53"/>
      <c r="F131" s="53"/>
      <c r="G131" s="53"/>
      <c r="H131" s="3"/>
      <c r="I131" s="3"/>
      <c r="J131" s="10"/>
      <c r="K131" s="39"/>
      <c r="L131" s="10"/>
      <c r="M131" s="10"/>
      <c r="N131" s="10"/>
      <c r="O131" s="10"/>
      <c r="P131" s="3"/>
      <c r="Q131" s="10"/>
      <c r="R131" s="10"/>
      <c r="S131" s="10"/>
      <c r="T131" s="10"/>
      <c r="U131" s="10"/>
      <c r="V131" s="10"/>
      <c r="W131" s="10"/>
      <c r="X131" s="10"/>
      <c r="Y131" s="10"/>
      <c r="Z131" s="3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3"/>
      <c r="AL131" s="3"/>
      <c r="AM131" s="10"/>
    </row>
    <row r="132" spans="1:39" ht="60" x14ac:dyDescent="0.25">
      <c r="A132" s="5" t="s">
        <v>199</v>
      </c>
      <c r="B132" s="6" t="s">
        <v>200</v>
      </c>
      <c r="C132" s="11" t="s">
        <v>10</v>
      </c>
      <c r="D132" s="11"/>
      <c r="E132" s="11"/>
      <c r="F132" s="11"/>
      <c r="G132" s="11"/>
      <c r="H132" s="2">
        <v>0</v>
      </c>
      <c r="I132" s="2">
        <v>0</v>
      </c>
      <c r="J132" s="2">
        <v>0</v>
      </c>
      <c r="K132" s="2">
        <v>0</v>
      </c>
      <c r="L132" s="2">
        <v>0</v>
      </c>
      <c r="M132" s="2">
        <v>0</v>
      </c>
      <c r="N132" s="2">
        <v>0</v>
      </c>
      <c r="O132" s="2">
        <v>0</v>
      </c>
      <c r="P132" s="2">
        <f>SUM(P133:P134)</f>
        <v>0</v>
      </c>
      <c r="Q132" s="2">
        <f t="shared" ref="Q132:AL132" si="40">SUM(Q133:Q134)</f>
        <v>0</v>
      </c>
      <c r="R132" s="2">
        <f t="shared" si="40"/>
        <v>0</v>
      </c>
      <c r="S132" s="2">
        <f t="shared" si="40"/>
        <v>0</v>
      </c>
      <c r="T132" s="2">
        <f t="shared" si="40"/>
        <v>0</v>
      </c>
      <c r="U132" s="2">
        <f t="shared" si="40"/>
        <v>0</v>
      </c>
      <c r="V132" s="2">
        <f t="shared" si="40"/>
        <v>0</v>
      </c>
      <c r="W132" s="2">
        <f t="shared" si="40"/>
        <v>0</v>
      </c>
      <c r="X132" s="2">
        <f t="shared" si="40"/>
        <v>0</v>
      </c>
      <c r="Y132" s="2">
        <f t="shared" si="40"/>
        <v>0</v>
      </c>
      <c r="Z132" s="2">
        <f t="shared" si="40"/>
        <v>0</v>
      </c>
      <c r="AA132" s="2">
        <f t="shared" si="40"/>
        <v>0</v>
      </c>
      <c r="AB132" s="2">
        <f t="shared" si="40"/>
        <v>0</v>
      </c>
      <c r="AC132" s="2">
        <f t="shared" si="40"/>
        <v>0</v>
      </c>
      <c r="AD132" s="2">
        <f t="shared" si="40"/>
        <v>0</v>
      </c>
      <c r="AE132" s="2">
        <f t="shared" si="40"/>
        <v>0</v>
      </c>
      <c r="AF132" s="2">
        <f t="shared" si="40"/>
        <v>0</v>
      </c>
      <c r="AG132" s="2">
        <f t="shared" si="40"/>
        <v>0</v>
      </c>
      <c r="AH132" s="2">
        <f t="shared" si="40"/>
        <v>0</v>
      </c>
      <c r="AI132" s="2">
        <f t="shared" si="40"/>
        <v>0</v>
      </c>
      <c r="AJ132" s="2">
        <f t="shared" si="40"/>
        <v>0</v>
      </c>
      <c r="AK132" s="2">
        <f t="shared" si="40"/>
        <v>0</v>
      </c>
      <c r="AL132" s="2">
        <f t="shared" si="40"/>
        <v>0</v>
      </c>
      <c r="AM132" s="40"/>
    </row>
    <row r="133" spans="1:39" ht="45" x14ac:dyDescent="0.25">
      <c r="A133" s="17" t="s">
        <v>201</v>
      </c>
      <c r="B133" s="18" t="s">
        <v>202</v>
      </c>
      <c r="C133" s="16" t="s">
        <v>10</v>
      </c>
      <c r="D133" s="53"/>
      <c r="E133" s="53"/>
      <c r="F133" s="53"/>
      <c r="G133" s="53"/>
      <c r="H133" s="3"/>
      <c r="I133" s="3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3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3"/>
      <c r="AL133" s="3"/>
      <c r="AM133" s="10"/>
    </row>
    <row r="134" spans="1:39" ht="45" x14ac:dyDescent="0.25">
      <c r="A134" s="17" t="s">
        <v>203</v>
      </c>
      <c r="B134" s="18" t="s">
        <v>204</v>
      </c>
      <c r="C134" s="16" t="s">
        <v>10</v>
      </c>
      <c r="D134" s="53"/>
      <c r="E134" s="53"/>
      <c r="F134" s="53"/>
      <c r="G134" s="53"/>
      <c r="H134" s="3"/>
      <c r="I134" s="3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3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3"/>
      <c r="AL134" s="3"/>
      <c r="AM134" s="10"/>
    </row>
    <row r="135" spans="1:39" ht="30" x14ac:dyDescent="0.25">
      <c r="A135" s="5" t="s">
        <v>205</v>
      </c>
      <c r="B135" s="6" t="s">
        <v>206</v>
      </c>
      <c r="C135" s="11" t="s">
        <v>10</v>
      </c>
      <c r="D135" s="11"/>
      <c r="E135" s="11"/>
      <c r="F135" s="11"/>
      <c r="G135" s="11"/>
      <c r="H135" s="2">
        <v>147.51355932203393</v>
      </c>
      <c r="I135" s="2">
        <v>147.51355932203393</v>
      </c>
      <c r="J135" s="2">
        <v>0</v>
      </c>
      <c r="K135" s="2">
        <v>147.51355932203393</v>
      </c>
      <c r="L135" s="2">
        <v>14.369491525423729</v>
      </c>
      <c r="M135" s="2">
        <v>68.350000000000009</v>
      </c>
      <c r="N135" s="2">
        <v>64.794067796610165</v>
      </c>
      <c r="O135" s="2">
        <v>0</v>
      </c>
      <c r="P135" s="2">
        <f>SUM(P136:P141)</f>
        <v>0</v>
      </c>
      <c r="Q135" s="2">
        <f t="shared" ref="Q135:AL135" si="41">SUM(Q136:Q141)</f>
        <v>0</v>
      </c>
      <c r="R135" s="2">
        <f t="shared" si="41"/>
        <v>0</v>
      </c>
      <c r="S135" s="2">
        <f t="shared" si="41"/>
        <v>0</v>
      </c>
      <c r="T135" s="2">
        <f t="shared" si="41"/>
        <v>0</v>
      </c>
      <c r="U135" s="2">
        <f t="shared" si="41"/>
        <v>147.51355932203393</v>
      </c>
      <c r="V135" s="2">
        <f t="shared" si="41"/>
        <v>147.51355932203393</v>
      </c>
      <c r="W135" s="2">
        <f t="shared" si="41"/>
        <v>147.51355932203393</v>
      </c>
      <c r="X135" s="2">
        <f t="shared" si="41"/>
        <v>147.51355932203393</v>
      </c>
      <c r="Y135" s="2">
        <f t="shared" si="41"/>
        <v>0</v>
      </c>
      <c r="Z135" s="2">
        <f t="shared" si="41"/>
        <v>0</v>
      </c>
      <c r="AA135" s="2">
        <f t="shared" si="41"/>
        <v>0</v>
      </c>
      <c r="AB135" s="2">
        <f t="shared" si="41"/>
        <v>0</v>
      </c>
      <c r="AC135" s="2">
        <f t="shared" si="41"/>
        <v>18.751694915254237</v>
      </c>
      <c r="AD135" s="2">
        <f t="shared" si="41"/>
        <v>0</v>
      </c>
      <c r="AE135" s="2">
        <f t="shared" si="41"/>
        <v>0</v>
      </c>
      <c r="AF135" s="2">
        <f t="shared" si="41"/>
        <v>0</v>
      </c>
      <c r="AG135" s="2">
        <f t="shared" si="41"/>
        <v>0.95593220338983054</v>
      </c>
      <c r="AH135" s="2">
        <f t="shared" si="41"/>
        <v>0</v>
      </c>
      <c r="AI135" s="2">
        <f t="shared" si="41"/>
        <v>146.55762711864409</v>
      </c>
      <c r="AJ135" s="2">
        <f t="shared" si="41"/>
        <v>0</v>
      </c>
      <c r="AK135" s="2">
        <f t="shared" si="41"/>
        <v>147.51355932203393</v>
      </c>
      <c r="AL135" s="2">
        <f t="shared" si="41"/>
        <v>0</v>
      </c>
      <c r="AM135" s="40"/>
    </row>
    <row r="136" spans="1:39" ht="105" x14ac:dyDescent="0.25">
      <c r="A136" s="17" t="s">
        <v>205</v>
      </c>
      <c r="B136" s="44" t="s">
        <v>299</v>
      </c>
      <c r="C136" s="45" t="s">
        <v>287</v>
      </c>
      <c r="D136" s="45" t="s">
        <v>333</v>
      </c>
      <c r="E136" s="45">
        <v>2019</v>
      </c>
      <c r="F136" s="45">
        <v>2019</v>
      </c>
      <c r="G136" s="53">
        <v>2019</v>
      </c>
      <c r="H136" s="14">
        <v>0.11271186440677967</v>
      </c>
      <c r="I136" s="52">
        <v>0.11271186440677967</v>
      </c>
      <c r="J136" s="10"/>
      <c r="K136" s="39">
        <v>0.11271186440677967</v>
      </c>
      <c r="L136" s="41">
        <v>0</v>
      </c>
      <c r="M136" s="52">
        <v>0.11271186440677967</v>
      </c>
      <c r="N136" s="41">
        <v>0</v>
      </c>
      <c r="O136" s="10">
        <v>0</v>
      </c>
      <c r="P136" s="39"/>
      <c r="Q136" s="10"/>
      <c r="R136" s="14"/>
      <c r="S136" s="10"/>
      <c r="T136" s="10"/>
      <c r="U136" s="10">
        <v>0.11271186440677967</v>
      </c>
      <c r="V136" s="10">
        <v>0.11271186440677967</v>
      </c>
      <c r="W136" s="10">
        <v>0.11271186440677967</v>
      </c>
      <c r="X136" s="10">
        <v>0.11271186440677967</v>
      </c>
      <c r="Y136" s="41"/>
      <c r="Z136" s="3"/>
      <c r="AA136" s="10"/>
      <c r="AB136" s="10"/>
      <c r="AC136" s="10"/>
      <c r="AD136" s="10"/>
      <c r="AE136" s="10"/>
      <c r="AF136" s="10"/>
      <c r="AG136" s="10"/>
      <c r="AH136" s="10"/>
      <c r="AI136" s="10">
        <v>0.11271186440677967</v>
      </c>
      <c r="AJ136" s="10"/>
      <c r="AK136" s="3">
        <f t="shared" ref="AK136:AK141" si="42">AD136+AF136+AG136+AI136</f>
        <v>0.11271186440677967</v>
      </c>
      <c r="AL136" s="3">
        <f t="shared" ref="AL136:AL141" si="43">AD136+AF136+AH136+AJ136</f>
        <v>0</v>
      </c>
      <c r="AM136" s="12" t="s">
        <v>357</v>
      </c>
    </row>
    <row r="137" spans="1:39" ht="105" x14ac:dyDescent="0.25">
      <c r="A137" s="17" t="s">
        <v>205</v>
      </c>
      <c r="B137" s="44" t="s">
        <v>301</v>
      </c>
      <c r="C137" s="45" t="s">
        <v>288</v>
      </c>
      <c r="D137" s="45" t="s">
        <v>333</v>
      </c>
      <c r="E137" s="45">
        <v>2018</v>
      </c>
      <c r="F137" s="45">
        <v>2018</v>
      </c>
      <c r="G137" s="53">
        <v>2019</v>
      </c>
      <c r="H137" s="14">
        <v>0.6228813559322034</v>
      </c>
      <c r="I137" s="52">
        <v>0.6228813559322034</v>
      </c>
      <c r="J137" s="10"/>
      <c r="K137" s="39">
        <v>0.6228813559322034</v>
      </c>
      <c r="L137" s="41">
        <v>0</v>
      </c>
      <c r="M137" s="52">
        <v>0.6228813559322034</v>
      </c>
      <c r="N137" s="41">
        <v>0</v>
      </c>
      <c r="O137" s="10">
        <v>0</v>
      </c>
      <c r="P137" s="39"/>
      <c r="Q137" s="10"/>
      <c r="R137" s="14"/>
      <c r="S137" s="10"/>
      <c r="T137" s="10"/>
      <c r="U137" s="10">
        <v>0.6228813559322034</v>
      </c>
      <c r="V137" s="10">
        <v>0.6228813559322034</v>
      </c>
      <c r="W137" s="10">
        <v>0.6228813559322034</v>
      </c>
      <c r="X137" s="10">
        <v>0.6228813559322034</v>
      </c>
      <c r="Y137" s="41"/>
      <c r="Z137" s="3"/>
      <c r="AA137" s="10"/>
      <c r="AB137" s="10"/>
      <c r="AC137" s="10"/>
      <c r="AD137" s="10"/>
      <c r="AE137" s="10"/>
      <c r="AF137" s="10"/>
      <c r="AG137" s="10">
        <v>0.6228813559322034</v>
      </c>
      <c r="AH137" s="39">
        <v>0</v>
      </c>
      <c r="AI137" s="10">
        <v>0</v>
      </c>
      <c r="AJ137" s="10"/>
      <c r="AK137" s="3">
        <f t="shared" si="42"/>
        <v>0.6228813559322034</v>
      </c>
      <c r="AL137" s="3">
        <f t="shared" si="43"/>
        <v>0</v>
      </c>
      <c r="AM137" s="12" t="s">
        <v>357</v>
      </c>
    </row>
    <row r="138" spans="1:39" ht="105" x14ac:dyDescent="0.25">
      <c r="A138" s="17" t="s">
        <v>205</v>
      </c>
      <c r="B138" s="44" t="s">
        <v>207</v>
      </c>
      <c r="C138" s="45" t="s">
        <v>302</v>
      </c>
      <c r="D138" s="45" t="s">
        <v>333</v>
      </c>
      <c r="E138" s="45">
        <v>2018</v>
      </c>
      <c r="F138" s="45">
        <v>2018</v>
      </c>
      <c r="G138" s="53">
        <v>2019</v>
      </c>
      <c r="H138" s="14">
        <v>0.33305084745762714</v>
      </c>
      <c r="I138" s="52">
        <v>0.33305084745762714</v>
      </c>
      <c r="J138" s="10"/>
      <c r="K138" s="39">
        <v>0.33305084745762714</v>
      </c>
      <c r="L138" s="41">
        <v>0</v>
      </c>
      <c r="M138" s="52">
        <v>0.33305084745762714</v>
      </c>
      <c r="N138" s="41">
        <v>0</v>
      </c>
      <c r="O138" s="10">
        <v>0</v>
      </c>
      <c r="P138" s="39"/>
      <c r="Q138" s="10"/>
      <c r="R138" s="14"/>
      <c r="S138" s="10"/>
      <c r="T138" s="10"/>
      <c r="U138" s="10">
        <v>0.33305084745762714</v>
      </c>
      <c r="V138" s="10">
        <v>0.33305084745762714</v>
      </c>
      <c r="W138" s="10">
        <v>0.33305084745762714</v>
      </c>
      <c r="X138" s="10">
        <v>0.33305084745762714</v>
      </c>
      <c r="Y138" s="41"/>
      <c r="Z138" s="3"/>
      <c r="AA138" s="10"/>
      <c r="AB138" s="10"/>
      <c r="AC138" s="10"/>
      <c r="AD138" s="10"/>
      <c r="AE138" s="10"/>
      <c r="AF138" s="10"/>
      <c r="AG138" s="10">
        <v>0.33305084745762714</v>
      </c>
      <c r="AH138" s="39">
        <v>0</v>
      </c>
      <c r="AI138" s="10">
        <v>0</v>
      </c>
      <c r="AJ138" s="10"/>
      <c r="AK138" s="3">
        <f t="shared" si="42"/>
        <v>0.33305084745762714</v>
      </c>
      <c r="AL138" s="3">
        <f t="shared" si="43"/>
        <v>0</v>
      </c>
      <c r="AM138" s="12" t="s">
        <v>357</v>
      </c>
    </row>
    <row r="139" spans="1:39" ht="105" x14ac:dyDescent="0.25">
      <c r="A139" s="17" t="s">
        <v>205</v>
      </c>
      <c r="B139" s="44" t="s">
        <v>209</v>
      </c>
      <c r="C139" s="45" t="s">
        <v>303</v>
      </c>
      <c r="D139" s="45" t="s">
        <v>333</v>
      </c>
      <c r="E139" s="45">
        <v>2019</v>
      </c>
      <c r="F139" s="45">
        <v>2019</v>
      </c>
      <c r="G139" s="53">
        <v>2019</v>
      </c>
      <c r="H139" s="14">
        <v>3.1322033898305088</v>
      </c>
      <c r="I139" s="52">
        <v>3.1322033898305088</v>
      </c>
      <c r="J139" s="10"/>
      <c r="K139" s="39">
        <v>3.1322033898305084</v>
      </c>
      <c r="L139" s="41">
        <v>0.30169491525423731</v>
      </c>
      <c r="M139" s="41">
        <v>2.8305084745762712</v>
      </c>
      <c r="N139" s="41">
        <v>0</v>
      </c>
      <c r="O139" s="10">
        <v>0</v>
      </c>
      <c r="P139" s="39"/>
      <c r="Q139" s="10"/>
      <c r="R139" s="10"/>
      <c r="S139" s="10"/>
      <c r="T139" s="10"/>
      <c r="U139" s="10">
        <v>3.1322033898305088</v>
      </c>
      <c r="V139" s="10">
        <v>3.1322033898305088</v>
      </c>
      <c r="W139" s="10">
        <v>3.1322033898305088</v>
      </c>
      <c r="X139" s="10">
        <v>3.1322033898305088</v>
      </c>
      <c r="Y139" s="41"/>
      <c r="Z139" s="3"/>
      <c r="AA139" s="10"/>
      <c r="AB139" s="10"/>
      <c r="AC139" s="10"/>
      <c r="AD139" s="10"/>
      <c r="AE139" s="10"/>
      <c r="AF139" s="10"/>
      <c r="AG139" s="10"/>
      <c r="AH139" s="10"/>
      <c r="AI139" s="10">
        <v>3.1322033898305088</v>
      </c>
      <c r="AJ139" s="10"/>
      <c r="AK139" s="3">
        <f t="shared" si="42"/>
        <v>3.1322033898305088</v>
      </c>
      <c r="AL139" s="3">
        <f t="shared" si="43"/>
        <v>0</v>
      </c>
      <c r="AM139" s="12" t="s">
        <v>357</v>
      </c>
    </row>
    <row r="140" spans="1:39" ht="105" x14ac:dyDescent="0.25">
      <c r="A140" s="17" t="s">
        <v>205</v>
      </c>
      <c r="B140" s="44" t="s">
        <v>298</v>
      </c>
      <c r="C140" s="45" t="s">
        <v>304</v>
      </c>
      <c r="D140" s="45" t="s">
        <v>333</v>
      </c>
      <c r="E140" s="45">
        <v>2019</v>
      </c>
      <c r="F140" s="45">
        <v>2019</v>
      </c>
      <c r="G140" s="53">
        <v>2019</v>
      </c>
      <c r="H140" s="14">
        <v>5.5279661016949149</v>
      </c>
      <c r="I140" s="52">
        <v>5.5279661016949149</v>
      </c>
      <c r="J140" s="10"/>
      <c r="K140" s="39">
        <v>5.5279661016949158</v>
      </c>
      <c r="L140" s="41">
        <v>0.50847457627118642</v>
      </c>
      <c r="M140" s="41">
        <v>2.5101694915254242</v>
      </c>
      <c r="N140" s="41">
        <v>2.5093220338983051</v>
      </c>
      <c r="O140" s="10">
        <v>0</v>
      </c>
      <c r="P140" s="39"/>
      <c r="Q140" s="10"/>
      <c r="R140" s="10"/>
      <c r="S140" s="10"/>
      <c r="T140" s="10"/>
      <c r="U140" s="10">
        <v>5.5279661016949149</v>
      </c>
      <c r="V140" s="10">
        <v>5.5279661016949149</v>
      </c>
      <c r="W140" s="10">
        <v>5.5279661016949149</v>
      </c>
      <c r="X140" s="10">
        <v>5.5279661016949149</v>
      </c>
      <c r="Y140" s="41"/>
      <c r="Z140" s="3"/>
      <c r="AA140" s="10"/>
      <c r="AB140" s="10"/>
      <c r="AC140" s="10">
        <v>5.5279661016949149</v>
      </c>
      <c r="AD140" s="10">
        <v>0</v>
      </c>
      <c r="AE140" s="10"/>
      <c r="AF140" s="10"/>
      <c r="AG140" s="10"/>
      <c r="AH140" s="10"/>
      <c r="AI140" s="10">
        <v>5.5279661016949149</v>
      </c>
      <c r="AJ140" s="10"/>
      <c r="AK140" s="3">
        <f t="shared" si="42"/>
        <v>5.5279661016949149</v>
      </c>
      <c r="AL140" s="3">
        <f t="shared" si="43"/>
        <v>0</v>
      </c>
      <c r="AM140" s="12" t="s">
        <v>357</v>
      </c>
    </row>
    <row r="141" spans="1:39" ht="105" x14ac:dyDescent="0.25">
      <c r="A141" s="17" t="s">
        <v>205</v>
      </c>
      <c r="B141" s="44" t="s">
        <v>297</v>
      </c>
      <c r="C141" s="45" t="s">
        <v>305</v>
      </c>
      <c r="D141" s="45" t="s">
        <v>333</v>
      </c>
      <c r="E141" s="45">
        <v>2019</v>
      </c>
      <c r="F141" s="45">
        <v>2019</v>
      </c>
      <c r="G141" s="53">
        <v>2019</v>
      </c>
      <c r="H141" s="14">
        <v>137.78474576271188</v>
      </c>
      <c r="I141" s="52">
        <v>137.78474576271188</v>
      </c>
      <c r="J141" s="10"/>
      <c r="K141" s="39">
        <v>137.78474576271188</v>
      </c>
      <c r="L141" s="41">
        <v>13.559322033898306</v>
      </c>
      <c r="M141" s="41">
        <v>61.940677966101703</v>
      </c>
      <c r="N141" s="41">
        <v>62.284745762711864</v>
      </c>
      <c r="O141" s="10">
        <v>0</v>
      </c>
      <c r="P141" s="39"/>
      <c r="Q141" s="10"/>
      <c r="R141" s="10"/>
      <c r="S141" s="10"/>
      <c r="T141" s="10"/>
      <c r="U141" s="10">
        <v>137.78474576271188</v>
      </c>
      <c r="V141" s="10">
        <v>137.78474576271188</v>
      </c>
      <c r="W141" s="10">
        <v>137.78474576271188</v>
      </c>
      <c r="X141" s="10">
        <v>137.78474576271188</v>
      </c>
      <c r="Y141" s="41"/>
      <c r="Z141" s="3"/>
      <c r="AA141" s="10"/>
      <c r="AB141" s="10"/>
      <c r="AC141" s="10">
        <v>13.223728813559323</v>
      </c>
      <c r="AD141" s="10">
        <v>0</v>
      </c>
      <c r="AE141" s="10"/>
      <c r="AF141" s="10"/>
      <c r="AG141" s="10"/>
      <c r="AH141" s="10"/>
      <c r="AI141" s="10">
        <v>137.78474576271188</v>
      </c>
      <c r="AJ141" s="10"/>
      <c r="AK141" s="3">
        <f t="shared" si="42"/>
        <v>137.78474576271188</v>
      </c>
      <c r="AL141" s="3">
        <f t="shared" si="43"/>
        <v>0</v>
      </c>
      <c r="AM141" s="12" t="s">
        <v>357</v>
      </c>
    </row>
    <row r="142" spans="1:39" ht="30" x14ac:dyDescent="0.25">
      <c r="A142" s="5" t="s">
        <v>211</v>
      </c>
      <c r="B142" s="6" t="s">
        <v>212</v>
      </c>
      <c r="C142" s="11" t="s">
        <v>10</v>
      </c>
      <c r="D142" s="11"/>
      <c r="E142" s="11"/>
      <c r="F142" s="11"/>
      <c r="G142" s="11"/>
      <c r="H142" s="2"/>
      <c r="I142" s="2"/>
      <c r="J142" s="37"/>
      <c r="K142" s="50"/>
      <c r="L142" s="37"/>
      <c r="M142" s="37"/>
      <c r="N142" s="37"/>
      <c r="O142" s="37"/>
      <c r="P142" s="50"/>
      <c r="Q142" s="50"/>
      <c r="R142" s="50"/>
      <c r="S142" s="50"/>
      <c r="T142" s="37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F142" s="37"/>
      <c r="AG142" s="37"/>
      <c r="AH142" s="37"/>
      <c r="AI142" s="37"/>
      <c r="AJ142" s="37"/>
      <c r="AK142" s="37"/>
      <c r="AL142" s="37"/>
      <c r="AM142" s="10"/>
    </row>
    <row r="143" spans="1:39" x14ac:dyDescent="0.25">
      <c r="A143" s="5" t="s">
        <v>213</v>
      </c>
      <c r="B143" s="6" t="s">
        <v>214</v>
      </c>
      <c r="C143" s="11" t="s">
        <v>10</v>
      </c>
      <c r="D143" s="11"/>
      <c r="E143" s="11"/>
      <c r="F143" s="11"/>
      <c r="G143" s="11"/>
      <c r="H143" s="2">
        <v>41.945762711864411</v>
      </c>
      <c r="I143" s="2">
        <v>37.006779661016949</v>
      </c>
      <c r="J143" s="2">
        <v>0</v>
      </c>
      <c r="K143" s="2">
        <v>41.945559322033901</v>
      </c>
      <c r="L143" s="2">
        <v>0</v>
      </c>
      <c r="M143" s="2">
        <v>6.049152542372882</v>
      </c>
      <c r="N143" s="2">
        <v>0</v>
      </c>
      <c r="O143" s="2">
        <v>35.896406779661014</v>
      </c>
      <c r="P143" s="2">
        <f>SUM(P144:P158)</f>
        <v>14.381722033898306</v>
      </c>
      <c r="Q143" s="2">
        <f t="shared" ref="Q143:AL143" si="44">SUM(Q144:Q158)</f>
        <v>0</v>
      </c>
      <c r="R143" s="2">
        <f t="shared" si="44"/>
        <v>0</v>
      </c>
      <c r="S143" s="2">
        <f t="shared" si="44"/>
        <v>0</v>
      </c>
      <c r="T143" s="2">
        <f t="shared" si="44"/>
        <v>14.381722033898306</v>
      </c>
      <c r="U143" s="2">
        <f t="shared" si="44"/>
        <v>40.942372881355936</v>
      </c>
      <c r="V143" s="2">
        <f t="shared" si="44"/>
        <v>40.942372881355936</v>
      </c>
      <c r="W143" s="2">
        <f t="shared" si="44"/>
        <v>40.478813559322035</v>
      </c>
      <c r="X143" s="2">
        <f t="shared" si="44"/>
        <v>40.478813559322035</v>
      </c>
      <c r="Y143" s="2">
        <f t="shared" si="44"/>
        <v>12.738983050847459</v>
      </c>
      <c r="Z143" s="2">
        <f t="shared" si="44"/>
        <v>12.738983050847459</v>
      </c>
      <c r="AA143" s="2">
        <f t="shared" si="44"/>
        <v>0</v>
      </c>
      <c r="AB143" s="2">
        <f t="shared" si="44"/>
        <v>0</v>
      </c>
      <c r="AC143" s="2">
        <f t="shared" si="44"/>
        <v>14.540677966101697</v>
      </c>
      <c r="AD143" s="2">
        <f t="shared" si="44"/>
        <v>1.0033898305084745</v>
      </c>
      <c r="AE143" s="2">
        <f t="shared" si="44"/>
        <v>0.46355932203389838</v>
      </c>
      <c r="AF143" s="2">
        <f t="shared" si="44"/>
        <v>0.76107118169491528</v>
      </c>
      <c r="AG143" s="2">
        <f t="shared" si="44"/>
        <v>20.116949152542375</v>
      </c>
      <c r="AH143" s="2">
        <f t="shared" si="44"/>
        <v>5.5745762711864408</v>
      </c>
      <c r="AI143" s="2">
        <f t="shared" si="44"/>
        <v>20.361864406779659</v>
      </c>
      <c r="AJ143" s="2">
        <f t="shared" si="44"/>
        <v>7.164406779661018</v>
      </c>
      <c r="AK143" s="2">
        <f t="shared" si="44"/>
        <v>42.243274571525419</v>
      </c>
      <c r="AL143" s="2">
        <f t="shared" si="44"/>
        <v>14.50344406305085</v>
      </c>
      <c r="AM143" s="40"/>
    </row>
    <row r="144" spans="1:39" ht="45" x14ac:dyDescent="0.25">
      <c r="A144" s="17" t="s">
        <v>213</v>
      </c>
      <c r="B144" s="44" t="s">
        <v>215</v>
      </c>
      <c r="C144" s="45" t="s">
        <v>216</v>
      </c>
      <c r="D144" s="45" t="s">
        <v>333</v>
      </c>
      <c r="E144" s="45">
        <v>2019</v>
      </c>
      <c r="F144" s="45">
        <v>2019</v>
      </c>
      <c r="G144" s="53">
        <v>2019</v>
      </c>
      <c r="H144" s="14">
        <v>2.4076271186440681</v>
      </c>
      <c r="I144" s="52">
        <v>2.4076271186440681</v>
      </c>
      <c r="J144" s="10"/>
      <c r="K144" s="3">
        <v>2.4076271186440681</v>
      </c>
      <c r="L144" s="41">
        <v>0</v>
      </c>
      <c r="M144" s="41">
        <v>0</v>
      </c>
      <c r="N144" s="41">
        <v>0</v>
      </c>
      <c r="O144" s="52">
        <v>2.4076271186440681</v>
      </c>
      <c r="P144" s="3">
        <f>Q144+R144+S144+T144</f>
        <v>2.4076271186440681</v>
      </c>
      <c r="Q144" s="10">
        <v>0</v>
      </c>
      <c r="R144" s="10">
        <v>0</v>
      </c>
      <c r="S144" s="10">
        <v>0</v>
      </c>
      <c r="T144" s="14">
        <v>2.4076271186440681</v>
      </c>
      <c r="U144" s="10">
        <v>2.4076271186440681</v>
      </c>
      <c r="V144" s="10">
        <v>2.4076271186440681</v>
      </c>
      <c r="W144" s="10">
        <v>2.4076271186440681</v>
      </c>
      <c r="X144" s="10">
        <v>2.4076271186440681</v>
      </c>
      <c r="Y144" s="41">
        <v>2.4076271186440681</v>
      </c>
      <c r="Z144" s="3">
        <v>2.4076271186440681</v>
      </c>
      <c r="AA144" s="10"/>
      <c r="AB144" s="10"/>
      <c r="AC144" s="10">
        <v>2.1940677966101694</v>
      </c>
      <c r="AD144" s="10">
        <v>0</v>
      </c>
      <c r="AE144" s="10"/>
      <c r="AF144" s="10"/>
      <c r="AG144" s="10"/>
      <c r="AH144" s="10"/>
      <c r="AI144" s="10">
        <v>2.4076271186440681</v>
      </c>
      <c r="AJ144" s="10">
        <v>2.4076271186440681</v>
      </c>
      <c r="AK144" s="3">
        <f t="shared" ref="AK144:AK158" si="45">AD144+AF144+AG144+AI144</f>
        <v>2.4076271186440681</v>
      </c>
      <c r="AL144" s="3">
        <f t="shared" ref="AL144:AL158" si="46">AD144+AF144+AH144+AJ144</f>
        <v>2.4076271186440681</v>
      </c>
      <c r="AM144" s="12" t="s">
        <v>350</v>
      </c>
    </row>
    <row r="145" spans="1:39" ht="45" x14ac:dyDescent="0.25">
      <c r="A145" s="17" t="s">
        <v>213</v>
      </c>
      <c r="B145" s="44" t="s">
        <v>217</v>
      </c>
      <c r="C145" s="45" t="s">
        <v>218</v>
      </c>
      <c r="D145" s="45" t="s">
        <v>333</v>
      </c>
      <c r="E145" s="45">
        <v>2019</v>
      </c>
      <c r="F145" s="45">
        <v>2019</v>
      </c>
      <c r="G145" s="53">
        <v>2019</v>
      </c>
      <c r="H145" s="14">
        <v>5.2542372881355937E-2</v>
      </c>
      <c r="I145" s="52">
        <v>5.2542372881355937E-2</v>
      </c>
      <c r="J145" s="10"/>
      <c r="K145" s="3">
        <v>5.2542372881355937E-2</v>
      </c>
      <c r="L145" s="41">
        <v>0</v>
      </c>
      <c r="M145" s="41">
        <v>0</v>
      </c>
      <c r="N145" s="41">
        <v>0</v>
      </c>
      <c r="O145" s="52">
        <v>5.2542372881355937E-2</v>
      </c>
      <c r="P145" s="3">
        <f>Q145+R145+S145+T145</f>
        <v>5.2542372881355937E-2</v>
      </c>
      <c r="Q145" s="10">
        <v>0</v>
      </c>
      <c r="R145" s="10">
        <v>0</v>
      </c>
      <c r="S145" s="10">
        <v>0</v>
      </c>
      <c r="T145" s="14">
        <v>5.2542372881355937E-2</v>
      </c>
      <c r="U145" s="10">
        <v>5.2542372881355937E-2</v>
      </c>
      <c r="V145" s="10">
        <v>5.2542372881355937E-2</v>
      </c>
      <c r="W145" s="10">
        <v>5.2542372881355937E-2</v>
      </c>
      <c r="X145" s="10">
        <v>5.2542372881355937E-2</v>
      </c>
      <c r="Y145" s="41">
        <v>5.2542372881355937E-2</v>
      </c>
      <c r="Z145" s="3">
        <v>5.2542372881355937E-2</v>
      </c>
      <c r="AA145" s="10"/>
      <c r="AB145" s="10"/>
      <c r="AC145" s="10">
        <v>4.7457627118644069E-2</v>
      </c>
      <c r="AD145" s="10">
        <v>0</v>
      </c>
      <c r="AE145" s="10"/>
      <c r="AF145" s="10"/>
      <c r="AG145" s="10"/>
      <c r="AH145" s="10"/>
      <c r="AI145" s="10">
        <v>5.2542372881355937E-2</v>
      </c>
      <c r="AJ145" s="10">
        <v>5.2542372881355937E-2</v>
      </c>
      <c r="AK145" s="3">
        <f t="shared" si="45"/>
        <v>5.2542372881355937E-2</v>
      </c>
      <c r="AL145" s="3">
        <f t="shared" si="46"/>
        <v>5.2542372881355937E-2</v>
      </c>
      <c r="AM145" s="12" t="s">
        <v>350</v>
      </c>
    </row>
    <row r="146" spans="1:39" ht="75" x14ac:dyDescent="0.25">
      <c r="A146" s="17" t="s">
        <v>213</v>
      </c>
      <c r="B146" s="44" t="s">
        <v>219</v>
      </c>
      <c r="C146" s="45" t="s">
        <v>220</v>
      </c>
      <c r="D146" s="45" t="s">
        <v>333</v>
      </c>
      <c r="E146" s="45">
        <v>2019</v>
      </c>
      <c r="F146" s="45">
        <v>2019</v>
      </c>
      <c r="G146" s="53">
        <v>2019</v>
      </c>
      <c r="H146" s="14">
        <v>0.84152542372881356</v>
      </c>
      <c r="I146" s="52">
        <v>0.84152542372881356</v>
      </c>
      <c r="J146" s="10"/>
      <c r="K146" s="3">
        <v>0.84152542372881356</v>
      </c>
      <c r="L146" s="41">
        <v>0</v>
      </c>
      <c r="M146" s="41">
        <v>0</v>
      </c>
      <c r="N146" s="41">
        <v>0</v>
      </c>
      <c r="O146" s="52">
        <v>0.84152542372881356</v>
      </c>
      <c r="P146" s="3"/>
      <c r="Q146" s="10"/>
      <c r="R146" s="10"/>
      <c r="S146" s="10"/>
      <c r="T146" s="14"/>
      <c r="U146" s="10">
        <v>0.84152542372881356</v>
      </c>
      <c r="V146" s="10">
        <v>0.84152542372881356</v>
      </c>
      <c r="W146" s="10">
        <v>0.84152542372881356</v>
      </c>
      <c r="X146" s="10">
        <v>0.84152542372881356</v>
      </c>
      <c r="Y146" s="41"/>
      <c r="Z146" s="3"/>
      <c r="AA146" s="10"/>
      <c r="AB146" s="10"/>
      <c r="AC146" s="10"/>
      <c r="AD146" s="10"/>
      <c r="AE146" s="10"/>
      <c r="AF146" s="10"/>
      <c r="AG146" s="10"/>
      <c r="AH146" s="10"/>
      <c r="AI146" s="10">
        <v>0.84152542372881356</v>
      </c>
      <c r="AJ146" s="10"/>
      <c r="AK146" s="3">
        <f t="shared" si="45"/>
        <v>0.84152542372881356</v>
      </c>
      <c r="AL146" s="3">
        <f t="shared" si="46"/>
        <v>0</v>
      </c>
      <c r="AM146" s="12" t="s">
        <v>358</v>
      </c>
    </row>
    <row r="147" spans="1:39" ht="75" x14ac:dyDescent="0.25">
      <c r="A147" s="17" t="s">
        <v>213</v>
      </c>
      <c r="B147" s="44" t="s">
        <v>221</v>
      </c>
      <c r="C147" s="45" t="s">
        <v>222</v>
      </c>
      <c r="D147" s="45" t="s">
        <v>333</v>
      </c>
      <c r="E147" s="45">
        <v>2019</v>
      </c>
      <c r="F147" s="45">
        <v>2019</v>
      </c>
      <c r="G147" s="53">
        <v>2019</v>
      </c>
      <c r="H147" s="14">
        <v>1.1025423728813559</v>
      </c>
      <c r="I147" s="52">
        <v>1.1025423728813559</v>
      </c>
      <c r="J147" s="10"/>
      <c r="K147" s="3">
        <v>1.1025423728813559</v>
      </c>
      <c r="L147" s="41">
        <v>0</v>
      </c>
      <c r="M147" s="41">
        <v>0</v>
      </c>
      <c r="N147" s="41">
        <v>0</v>
      </c>
      <c r="O147" s="52">
        <v>1.1025423728813559</v>
      </c>
      <c r="P147" s="3"/>
      <c r="Q147" s="10"/>
      <c r="R147" s="10"/>
      <c r="S147" s="10"/>
      <c r="T147" s="14"/>
      <c r="U147" s="10">
        <v>1.1025423728813559</v>
      </c>
      <c r="V147" s="10">
        <v>1.1025423728813559</v>
      </c>
      <c r="W147" s="10">
        <v>1.1025423728813559</v>
      </c>
      <c r="X147" s="10">
        <v>1.1025423728813559</v>
      </c>
      <c r="Y147" s="41"/>
      <c r="Z147" s="3"/>
      <c r="AA147" s="10"/>
      <c r="AB147" s="10"/>
      <c r="AC147" s="10"/>
      <c r="AD147" s="10"/>
      <c r="AE147" s="10"/>
      <c r="AF147" s="10"/>
      <c r="AG147" s="10"/>
      <c r="AH147" s="10"/>
      <c r="AI147" s="10">
        <v>1.1025423728813559</v>
      </c>
      <c r="AJ147" s="10"/>
      <c r="AK147" s="3">
        <f t="shared" si="45"/>
        <v>1.1025423728813559</v>
      </c>
      <c r="AL147" s="3">
        <f t="shared" si="46"/>
        <v>0</v>
      </c>
      <c r="AM147" s="12" t="s">
        <v>358</v>
      </c>
    </row>
    <row r="148" spans="1:39" ht="75" x14ac:dyDescent="0.25">
      <c r="A148" s="17" t="s">
        <v>213</v>
      </c>
      <c r="B148" s="44" t="s">
        <v>223</v>
      </c>
      <c r="C148" s="45" t="s">
        <v>224</v>
      </c>
      <c r="D148" s="45" t="s">
        <v>333</v>
      </c>
      <c r="E148" s="45">
        <v>2019</v>
      </c>
      <c r="F148" s="45">
        <v>2019</v>
      </c>
      <c r="G148" s="53">
        <v>2019</v>
      </c>
      <c r="H148" s="14">
        <v>1.4923728813559323</v>
      </c>
      <c r="I148" s="52">
        <v>1.4923728813559323</v>
      </c>
      <c r="J148" s="10"/>
      <c r="K148" s="3">
        <v>1.4923728813559323</v>
      </c>
      <c r="L148" s="41">
        <v>0</v>
      </c>
      <c r="M148" s="41">
        <v>0</v>
      </c>
      <c r="N148" s="41">
        <v>0</v>
      </c>
      <c r="O148" s="52">
        <v>1.4923728813559323</v>
      </c>
      <c r="P148" s="3"/>
      <c r="Q148" s="10"/>
      <c r="R148" s="10"/>
      <c r="S148" s="10"/>
      <c r="T148" s="14"/>
      <c r="U148" s="10">
        <v>1.4923728813559323</v>
      </c>
      <c r="V148" s="10">
        <v>1.4923728813559323</v>
      </c>
      <c r="W148" s="10">
        <v>1.4923728813559323</v>
      </c>
      <c r="X148" s="10">
        <v>1.4923728813559323</v>
      </c>
      <c r="Y148" s="41"/>
      <c r="Z148" s="3"/>
      <c r="AA148" s="10"/>
      <c r="AB148" s="10"/>
      <c r="AC148" s="10"/>
      <c r="AD148" s="10"/>
      <c r="AE148" s="10"/>
      <c r="AF148" s="10"/>
      <c r="AG148" s="10"/>
      <c r="AH148" s="10"/>
      <c r="AI148" s="10">
        <v>1.4923728813559323</v>
      </c>
      <c r="AJ148" s="10"/>
      <c r="AK148" s="3">
        <f t="shared" si="45"/>
        <v>1.4923728813559323</v>
      </c>
      <c r="AL148" s="3">
        <f t="shared" si="46"/>
        <v>0</v>
      </c>
      <c r="AM148" s="12" t="s">
        <v>358</v>
      </c>
    </row>
    <row r="149" spans="1:39" ht="75" x14ac:dyDescent="0.25">
      <c r="A149" s="17" t="s">
        <v>213</v>
      </c>
      <c r="B149" s="44" t="s">
        <v>225</v>
      </c>
      <c r="C149" s="45" t="s">
        <v>226</v>
      </c>
      <c r="D149" s="45" t="s">
        <v>333</v>
      </c>
      <c r="E149" s="45">
        <v>2018</v>
      </c>
      <c r="F149" s="45">
        <v>2018</v>
      </c>
      <c r="G149" s="53">
        <v>2019</v>
      </c>
      <c r="H149" s="14">
        <v>0.73644067796610169</v>
      </c>
      <c r="I149" s="52">
        <v>0.73644067796610169</v>
      </c>
      <c r="J149" s="10"/>
      <c r="K149" s="3">
        <v>0.73644067796610169</v>
      </c>
      <c r="L149" s="41">
        <v>0</v>
      </c>
      <c r="M149" s="41">
        <v>0</v>
      </c>
      <c r="N149" s="41">
        <v>0</v>
      </c>
      <c r="O149" s="52">
        <v>0.73644067796610169</v>
      </c>
      <c r="P149" s="3"/>
      <c r="Q149" s="10"/>
      <c r="R149" s="10"/>
      <c r="S149" s="10"/>
      <c r="T149" s="14"/>
      <c r="U149" s="10">
        <v>0.73644067796610169</v>
      </c>
      <c r="V149" s="10">
        <v>0.73644067796610169</v>
      </c>
      <c r="W149" s="10">
        <v>0.73644067796610169</v>
      </c>
      <c r="X149" s="10">
        <v>0.73644067796610169</v>
      </c>
      <c r="Y149" s="41"/>
      <c r="Z149" s="3"/>
      <c r="AA149" s="10"/>
      <c r="AB149" s="10"/>
      <c r="AC149" s="10"/>
      <c r="AD149" s="10"/>
      <c r="AE149" s="10"/>
      <c r="AF149" s="10"/>
      <c r="AG149" s="10">
        <v>0.73644067796610169</v>
      </c>
      <c r="AH149" s="39">
        <v>0</v>
      </c>
      <c r="AI149" s="10">
        <v>0</v>
      </c>
      <c r="AJ149" s="10"/>
      <c r="AK149" s="3">
        <f t="shared" si="45"/>
        <v>0.73644067796610169</v>
      </c>
      <c r="AL149" s="3">
        <f t="shared" si="46"/>
        <v>0</v>
      </c>
      <c r="AM149" s="12" t="s">
        <v>358</v>
      </c>
    </row>
    <row r="150" spans="1:39" ht="75" x14ac:dyDescent="0.25">
      <c r="A150" s="17" t="s">
        <v>213</v>
      </c>
      <c r="B150" s="44" t="s">
        <v>227</v>
      </c>
      <c r="C150" s="45" t="s">
        <v>228</v>
      </c>
      <c r="D150" s="45" t="s">
        <v>333</v>
      </c>
      <c r="E150" s="45">
        <v>2018</v>
      </c>
      <c r="F150" s="45">
        <v>2018</v>
      </c>
      <c r="G150" s="53">
        <v>2019</v>
      </c>
      <c r="H150" s="14">
        <v>1.4500000000000002</v>
      </c>
      <c r="I150" s="52">
        <v>1.4500000000000002</v>
      </c>
      <c r="J150" s="10"/>
      <c r="K150" s="3">
        <v>1.4500000000000002</v>
      </c>
      <c r="L150" s="41">
        <v>0</v>
      </c>
      <c r="M150" s="41">
        <v>0</v>
      </c>
      <c r="N150" s="41">
        <v>0</v>
      </c>
      <c r="O150" s="52">
        <v>1.4500000000000002</v>
      </c>
      <c r="P150" s="3"/>
      <c r="Q150" s="10"/>
      <c r="R150" s="10"/>
      <c r="S150" s="10"/>
      <c r="T150" s="14"/>
      <c r="U150" s="10">
        <v>1.4500000000000002</v>
      </c>
      <c r="V150" s="10">
        <v>1.4500000000000002</v>
      </c>
      <c r="W150" s="10">
        <v>1.4500000000000002</v>
      </c>
      <c r="X150" s="10">
        <v>1.4500000000000002</v>
      </c>
      <c r="Y150" s="41"/>
      <c r="Z150" s="3"/>
      <c r="AA150" s="10"/>
      <c r="AB150" s="10"/>
      <c r="AC150" s="10">
        <v>1.4500000000000002</v>
      </c>
      <c r="AD150" s="10">
        <v>0</v>
      </c>
      <c r="AE150" s="10"/>
      <c r="AF150" s="10"/>
      <c r="AG150" s="10">
        <v>1.4500000000000002</v>
      </c>
      <c r="AH150" s="39">
        <v>0</v>
      </c>
      <c r="AI150" s="10">
        <v>0</v>
      </c>
      <c r="AJ150" s="10"/>
      <c r="AK150" s="3">
        <f t="shared" si="45"/>
        <v>1.4500000000000002</v>
      </c>
      <c r="AL150" s="3">
        <f t="shared" si="46"/>
        <v>0</v>
      </c>
      <c r="AM150" s="12" t="s">
        <v>358</v>
      </c>
    </row>
    <row r="151" spans="1:39" ht="75" x14ac:dyDescent="0.25">
      <c r="A151" s="17" t="s">
        <v>213</v>
      </c>
      <c r="B151" s="44" t="s">
        <v>229</v>
      </c>
      <c r="C151" s="45" t="s">
        <v>230</v>
      </c>
      <c r="D151" s="45" t="s">
        <v>333</v>
      </c>
      <c r="E151" s="45">
        <v>2018</v>
      </c>
      <c r="F151" s="45">
        <v>2018</v>
      </c>
      <c r="G151" s="53">
        <v>2019</v>
      </c>
      <c r="H151" s="14">
        <v>3.4847457627118645</v>
      </c>
      <c r="I151" s="52">
        <v>3.4847457627118645</v>
      </c>
      <c r="J151" s="10"/>
      <c r="K151" s="3">
        <v>3.4847457627118645</v>
      </c>
      <c r="L151" s="41">
        <v>0</v>
      </c>
      <c r="M151" s="41">
        <v>0</v>
      </c>
      <c r="N151" s="41">
        <v>0</v>
      </c>
      <c r="O151" s="52">
        <v>3.4847457627118645</v>
      </c>
      <c r="P151" s="3"/>
      <c r="Q151" s="10"/>
      <c r="R151" s="10"/>
      <c r="S151" s="10"/>
      <c r="T151" s="14"/>
      <c r="U151" s="10">
        <v>3.4847457627118645</v>
      </c>
      <c r="V151" s="10">
        <v>3.4847457627118645</v>
      </c>
      <c r="W151" s="10">
        <v>3.4847457627118645</v>
      </c>
      <c r="X151" s="10">
        <v>3.4847457627118645</v>
      </c>
      <c r="Y151" s="41"/>
      <c r="Z151" s="3"/>
      <c r="AA151" s="10"/>
      <c r="AB151" s="10"/>
      <c r="AC151" s="10">
        <v>3.4847457627118645</v>
      </c>
      <c r="AD151" s="10">
        <v>0</v>
      </c>
      <c r="AE151" s="10"/>
      <c r="AF151" s="10"/>
      <c r="AG151" s="10">
        <v>3.4847457627118645</v>
      </c>
      <c r="AH151" s="39">
        <v>0</v>
      </c>
      <c r="AI151" s="10">
        <v>0</v>
      </c>
      <c r="AJ151" s="10"/>
      <c r="AK151" s="3">
        <f t="shared" si="45"/>
        <v>3.4847457627118645</v>
      </c>
      <c r="AL151" s="3">
        <f t="shared" si="46"/>
        <v>0</v>
      </c>
      <c r="AM151" s="12" t="s">
        <v>358</v>
      </c>
    </row>
    <row r="152" spans="1:39" ht="75" x14ac:dyDescent="0.25">
      <c r="A152" s="17" t="s">
        <v>213</v>
      </c>
      <c r="B152" s="44" t="s">
        <v>293</v>
      </c>
      <c r="C152" s="45" t="s">
        <v>231</v>
      </c>
      <c r="D152" s="45" t="s">
        <v>334</v>
      </c>
      <c r="E152" s="45">
        <v>2018</v>
      </c>
      <c r="F152" s="45">
        <v>2018</v>
      </c>
      <c r="G152" s="53">
        <v>2019</v>
      </c>
      <c r="H152" s="14">
        <v>3.5872881355932202</v>
      </c>
      <c r="I152" s="52">
        <v>3.7084745762711862</v>
      </c>
      <c r="J152" s="10"/>
      <c r="K152" s="3">
        <v>3.5872881355932202</v>
      </c>
      <c r="L152" s="41">
        <v>0</v>
      </c>
      <c r="M152" s="41">
        <v>0</v>
      </c>
      <c r="N152" s="41">
        <v>0</v>
      </c>
      <c r="O152" s="41">
        <v>3.5872881355932202</v>
      </c>
      <c r="P152" s="3"/>
      <c r="Q152" s="10"/>
      <c r="R152" s="10"/>
      <c r="S152" s="10"/>
      <c r="T152" s="10"/>
      <c r="U152" s="10">
        <v>3.5872881355932202</v>
      </c>
      <c r="V152" s="10">
        <v>3.5872881355932202</v>
      </c>
      <c r="W152" s="10">
        <v>3.5872881355932202</v>
      </c>
      <c r="X152" s="10">
        <v>3.5872881355932202</v>
      </c>
      <c r="Y152" s="41"/>
      <c r="Z152" s="3"/>
      <c r="AA152" s="10"/>
      <c r="AB152" s="10"/>
      <c r="AC152" s="10"/>
      <c r="AD152" s="10"/>
      <c r="AE152" s="10">
        <v>0</v>
      </c>
      <c r="AF152" s="10">
        <f>0.1431809944/1.18</f>
        <v>0.12133982576271188</v>
      </c>
      <c r="AG152" s="10">
        <v>3.5872881355932202</v>
      </c>
      <c r="AH152" s="39">
        <v>0</v>
      </c>
      <c r="AI152" s="10">
        <v>0</v>
      </c>
      <c r="AJ152" s="10"/>
      <c r="AK152" s="3">
        <f t="shared" si="45"/>
        <v>3.7086279613559321</v>
      </c>
      <c r="AL152" s="3">
        <f t="shared" si="46"/>
        <v>0.12133982576271188</v>
      </c>
      <c r="AM152" s="12" t="s">
        <v>358</v>
      </c>
    </row>
    <row r="153" spans="1:39" ht="75" x14ac:dyDescent="0.25">
      <c r="A153" s="17" t="s">
        <v>213</v>
      </c>
      <c r="B153" s="44" t="s">
        <v>292</v>
      </c>
      <c r="C153" s="45" t="s">
        <v>232</v>
      </c>
      <c r="D153" s="45" t="s">
        <v>333</v>
      </c>
      <c r="E153" s="45">
        <v>2018</v>
      </c>
      <c r="F153" s="45">
        <v>2018</v>
      </c>
      <c r="G153" s="53">
        <v>2019</v>
      </c>
      <c r="H153" s="14">
        <v>3.7601694915254242</v>
      </c>
      <c r="I153" s="52">
        <v>3.7601694915254242</v>
      </c>
      <c r="J153" s="10"/>
      <c r="K153" s="3">
        <v>3.7601694915254242</v>
      </c>
      <c r="L153" s="41">
        <v>0</v>
      </c>
      <c r="M153" s="41">
        <v>0</v>
      </c>
      <c r="N153" s="41">
        <v>0</v>
      </c>
      <c r="O153" s="41">
        <v>3.7601694915254242</v>
      </c>
      <c r="P153" s="3"/>
      <c r="Q153" s="10"/>
      <c r="R153" s="10"/>
      <c r="S153" s="10"/>
      <c r="T153" s="41"/>
      <c r="U153" s="10">
        <v>3.7601694915254242</v>
      </c>
      <c r="V153" s="10">
        <v>3.7601694915254242</v>
      </c>
      <c r="W153" s="10">
        <v>3.7601694915254242</v>
      </c>
      <c r="X153" s="10">
        <v>3.7601694915254242</v>
      </c>
      <c r="Y153" s="41"/>
      <c r="Z153" s="3"/>
      <c r="AA153" s="10"/>
      <c r="AB153" s="10"/>
      <c r="AC153" s="10"/>
      <c r="AD153" s="10"/>
      <c r="AE153" s="10"/>
      <c r="AF153" s="10"/>
      <c r="AG153" s="10">
        <v>3.7601694915254242</v>
      </c>
      <c r="AH153" s="39">
        <v>0</v>
      </c>
      <c r="AI153" s="10">
        <v>0</v>
      </c>
      <c r="AJ153" s="10"/>
      <c r="AK153" s="3">
        <f t="shared" si="45"/>
        <v>3.7601694915254242</v>
      </c>
      <c r="AL153" s="3">
        <f t="shared" si="46"/>
        <v>0</v>
      </c>
      <c r="AM153" s="12" t="s">
        <v>358</v>
      </c>
    </row>
    <row r="154" spans="1:39" ht="45" x14ac:dyDescent="0.25">
      <c r="A154" s="17" t="s">
        <v>213</v>
      </c>
      <c r="B154" s="44" t="s">
        <v>291</v>
      </c>
      <c r="C154" s="45" t="s">
        <v>233</v>
      </c>
      <c r="D154" s="45" t="s">
        <v>333</v>
      </c>
      <c r="E154" s="45">
        <v>2018</v>
      </c>
      <c r="F154" s="45">
        <v>2018</v>
      </c>
      <c r="G154" s="43">
        <v>2018</v>
      </c>
      <c r="H154" s="14">
        <v>1.0491525423728814</v>
      </c>
      <c r="I154" s="52">
        <v>1.0491525423728814</v>
      </c>
      <c r="J154" s="10"/>
      <c r="K154" s="3">
        <v>1.0491525423728814</v>
      </c>
      <c r="L154" s="41">
        <v>0</v>
      </c>
      <c r="M154" s="41">
        <v>0</v>
      </c>
      <c r="N154" s="41">
        <v>0</v>
      </c>
      <c r="O154" s="41">
        <v>1.0491525423728814</v>
      </c>
      <c r="P154" s="3">
        <f>Q154+R154+S154+T154</f>
        <v>1.0491525423728814</v>
      </c>
      <c r="Q154" s="10">
        <v>0</v>
      </c>
      <c r="R154" s="10">
        <v>0</v>
      </c>
      <c r="S154" s="10">
        <v>0</v>
      </c>
      <c r="T154" s="10">
        <v>1.0491525423728814</v>
      </c>
      <c r="U154" s="10">
        <v>1.0491525423728814</v>
      </c>
      <c r="V154" s="10">
        <v>1.0491525423728814</v>
      </c>
      <c r="W154" s="10">
        <v>1.0491525423728814</v>
      </c>
      <c r="X154" s="10">
        <v>1.0491525423728814</v>
      </c>
      <c r="Y154" s="41">
        <v>1.0491525423728814</v>
      </c>
      <c r="Z154" s="3">
        <v>1.0491525423728814</v>
      </c>
      <c r="AA154" s="10"/>
      <c r="AB154" s="10"/>
      <c r="AC154" s="10"/>
      <c r="AD154" s="10"/>
      <c r="AE154" s="10"/>
      <c r="AF154" s="10"/>
      <c r="AG154" s="10">
        <v>1.0491525423728814</v>
      </c>
      <c r="AH154" s="39">
        <v>1.0491525423728814</v>
      </c>
      <c r="AI154" s="10"/>
      <c r="AJ154" s="10"/>
      <c r="AK154" s="3">
        <f t="shared" si="45"/>
        <v>1.0491525423728814</v>
      </c>
      <c r="AL154" s="3">
        <f t="shared" si="46"/>
        <v>1.0491525423728814</v>
      </c>
      <c r="AM154" s="12" t="s">
        <v>351</v>
      </c>
    </row>
    <row r="155" spans="1:39" ht="105" x14ac:dyDescent="0.25">
      <c r="A155" s="17" t="s">
        <v>213</v>
      </c>
      <c r="B155" s="44" t="s">
        <v>234</v>
      </c>
      <c r="C155" s="45" t="s">
        <v>306</v>
      </c>
      <c r="D155" s="45" t="s">
        <v>333</v>
      </c>
      <c r="E155" s="45">
        <v>2018</v>
      </c>
      <c r="F155" s="45">
        <v>2018</v>
      </c>
      <c r="G155" s="53">
        <v>2019</v>
      </c>
      <c r="H155" s="14">
        <v>1.8423728813559321</v>
      </c>
      <c r="I155" s="52">
        <v>1.8423728813559321</v>
      </c>
      <c r="J155" s="10"/>
      <c r="K155" s="3">
        <v>1.8423728813559321</v>
      </c>
      <c r="L155" s="41">
        <v>0</v>
      </c>
      <c r="M155" s="41">
        <v>1.8423728813559321</v>
      </c>
      <c r="N155" s="41">
        <v>0</v>
      </c>
      <c r="O155" s="41">
        <v>0</v>
      </c>
      <c r="P155" s="3"/>
      <c r="Q155" s="10"/>
      <c r="R155" s="10"/>
      <c r="S155" s="10"/>
      <c r="T155" s="10"/>
      <c r="U155" s="10">
        <v>1.8423728813559321</v>
      </c>
      <c r="V155" s="10">
        <v>1.8423728813559321</v>
      </c>
      <c r="W155" s="10">
        <v>1.8423728813559321</v>
      </c>
      <c r="X155" s="10">
        <v>1.8423728813559321</v>
      </c>
      <c r="Y155" s="41"/>
      <c r="Z155" s="3"/>
      <c r="AA155" s="10"/>
      <c r="AB155" s="10"/>
      <c r="AC155" s="10">
        <v>2.3644067796610173</v>
      </c>
      <c r="AD155" s="10">
        <v>0</v>
      </c>
      <c r="AE155" s="10"/>
      <c r="AF155" s="10"/>
      <c r="AG155" s="10">
        <v>1.8423728813559321</v>
      </c>
      <c r="AH155" s="39">
        <v>0</v>
      </c>
      <c r="AI155" s="10">
        <v>0</v>
      </c>
      <c r="AJ155" s="10"/>
      <c r="AK155" s="3">
        <f t="shared" si="45"/>
        <v>1.8423728813559321</v>
      </c>
      <c r="AL155" s="3">
        <f t="shared" si="46"/>
        <v>0</v>
      </c>
      <c r="AM155" s="12" t="s">
        <v>357</v>
      </c>
    </row>
    <row r="156" spans="1:39" ht="105" x14ac:dyDescent="0.25">
      <c r="A156" s="17" t="s">
        <v>213</v>
      </c>
      <c r="B156" s="44" t="s">
        <v>236</v>
      </c>
      <c r="C156" s="45" t="s">
        <v>307</v>
      </c>
      <c r="D156" s="45" t="s">
        <v>333</v>
      </c>
      <c r="E156" s="45">
        <v>2018</v>
      </c>
      <c r="F156" s="45">
        <v>2018</v>
      </c>
      <c r="G156" s="53">
        <v>2019</v>
      </c>
      <c r="H156" s="14">
        <v>1.6330508474576273</v>
      </c>
      <c r="I156" s="52">
        <v>1.6330508474576273</v>
      </c>
      <c r="J156" s="10"/>
      <c r="K156" s="3">
        <v>1.6330508474576273</v>
      </c>
      <c r="L156" s="41">
        <v>0</v>
      </c>
      <c r="M156" s="41">
        <v>1.6330508474576273</v>
      </c>
      <c r="N156" s="41">
        <v>0</v>
      </c>
      <c r="O156" s="41">
        <v>0</v>
      </c>
      <c r="P156" s="3"/>
      <c r="Q156" s="10"/>
      <c r="R156" s="10"/>
      <c r="S156" s="10"/>
      <c r="T156" s="10"/>
      <c r="U156" s="10">
        <v>1.6330508474576273</v>
      </c>
      <c r="V156" s="10">
        <v>1.6330508474576273</v>
      </c>
      <c r="W156" s="10">
        <v>1.6330508474576273</v>
      </c>
      <c r="X156" s="10">
        <v>1.6330508474576273</v>
      </c>
      <c r="Y156" s="41"/>
      <c r="Z156" s="3"/>
      <c r="AA156" s="10"/>
      <c r="AB156" s="10"/>
      <c r="AC156" s="10"/>
      <c r="AD156" s="10"/>
      <c r="AE156" s="10"/>
      <c r="AF156" s="10"/>
      <c r="AG156" s="10">
        <v>1.6330508474576273</v>
      </c>
      <c r="AH156" s="39">
        <v>0</v>
      </c>
      <c r="AI156" s="10">
        <v>0</v>
      </c>
      <c r="AJ156" s="10"/>
      <c r="AK156" s="3">
        <f t="shared" si="45"/>
        <v>1.6330508474576273</v>
      </c>
      <c r="AL156" s="3">
        <f t="shared" si="46"/>
        <v>0</v>
      </c>
      <c r="AM156" s="12" t="s">
        <v>357</v>
      </c>
    </row>
    <row r="157" spans="1:39" ht="105" x14ac:dyDescent="0.25">
      <c r="A157" s="17" t="s">
        <v>213</v>
      </c>
      <c r="B157" s="44" t="s">
        <v>238</v>
      </c>
      <c r="C157" s="45" t="s">
        <v>308</v>
      </c>
      <c r="D157" s="45" t="s">
        <v>333</v>
      </c>
      <c r="E157" s="45">
        <v>2018</v>
      </c>
      <c r="F157" s="45">
        <v>2018</v>
      </c>
      <c r="G157" s="53">
        <v>2019</v>
      </c>
      <c r="H157" s="14">
        <v>2.5737288135593221</v>
      </c>
      <c r="I157" s="52">
        <v>2.5737288135593221</v>
      </c>
      <c r="J157" s="10"/>
      <c r="K157" s="3">
        <v>2.5737288135593221</v>
      </c>
      <c r="L157" s="41">
        <v>0</v>
      </c>
      <c r="M157" s="41">
        <v>2.5737288135593221</v>
      </c>
      <c r="N157" s="41">
        <v>0</v>
      </c>
      <c r="O157" s="41">
        <v>0</v>
      </c>
      <c r="P157" s="3"/>
      <c r="Q157" s="10"/>
      <c r="R157" s="10"/>
      <c r="S157" s="10"/>
      <c r="T157" s="10"/>
      <c r="U157" s="10">
        <v>2.5737288135593221</v>
      </c>
      <c r="V157" s="10">
        <v>2.5737288135593221</v>
      </c>
      <c r="W157" s="10">
        <v>2.5737288135593221</v>
      </c>
      <c r="X157" s="10">
        <v>2.5737288135593221</v>
      </c>
      <c r="Y157" s="41"/>
      <c r="Z157" s="3"/>
      <c r="AA157" s="10"/>
      <c r="AB157" s="10"/>
      <c r="AC157" s="10"/>
      <c r="AD157" s="10"/>
      <c r="AE157" s="10"/>
      <c r="AF157" s="10"/>
      <c r="AG157" s="10">
        <v>2.5737288135593221</v>
      </c>
      <c r="AH157" s="39">
        <v>0</v>
      </c>
      <c r="AI157" s="10">
        <v>0</v>
      </c>
      <c r="AJ157" s="10"/>
      <c r="AK157" s="3">
        <f t="shared" si="45"/>
        <v>2.5737288135593221</v>
      </c>
      <c r="AL157" s="3">
        <f t="shared" si="46"/>
        <v>0</v>
      </c>
      <c r="AM157" s="12" t="s">
        <v>357</v>
      </c>
    </row>
    <row r="158" spans="1:39" ht="150" x14ac:dyDescent="0.25">
      <c r="A158" s="17" t="s">
        <v>213</v>
      </c>
      <c r="B158" s="44" t="s">
        <v>332</v>
      </c>
      <c r="C158" s="45" t="s">
        <v>240</v>
      </c>
      <c r="D158" s="45" t="s">
        <v>334</v>
      </c>
      <c r="E158" s="45">
        <v>2016</v>
      </c>
      <c r="F158" s="45">
        <v>2019</v>
      </c>
      <c r="G158" s="43">
        <v>2019</v>
      </c>
      <c r="H158" s="14">
        <v>15.93220338983051</v>
      </c>
      <c r="I158" s="52">
        <v>10.872033898305084</v>
      </c>
      <c r="J158" s="10"/>
      <c r="K158" s="3">
        <v>15.932</v>
      </c>
      <c r="L158" s="41">
        <v>0</v>
      </c>
      <c r="M158" s="41">
        <v>0</v>
      </c>
      <c r="N158" s="41">
        <v>0</v>
      </c>
      <c r="O158" s="41">
        <v>15.932</v>
      </c>
      <c r="P158" s="3">
        <f>Q158+R158+S158+T158</f>
        <v>10.872400000000001</v>
      </c>
      <c r="Q158" s="10">
        <v>0</v>
      </c>
      <c r="R158" s="10">
        <v>0</v>
      </c>
      <c r="S158" s="10">
        <v>0</v>
      </c>
      <c r="T158" s="10">
        <v>10.872400000000001</v>
      </c>
      <c r="U158" s="10">
        <v>14.928813559322034</v>
      </c>
      <c r="V158" s="10">
        <v>14.928813559322034</v>
      </c>
      <c r="W158" s="10">
        <v>14.465254237288136</v>
      </c>
      <c r="X158" s="10">
        <v>14.465254237288136</v>
      </c>
      <c r="Y158" s="41">
        <v>9.2296610169491533</v>
      </c>
      <c r="Z158" s="3">
        <v>9.2296610169491533</v>
      </c>
      <c r="AA158" s="10"/>
      <c r="AB158" s="10"/>
      <c r="AC158" s="10">
        <v>5.0000000000000009</v>
      </c>
      <c r="AD158" s="10">
        <f>1.184/1.18</f>
        <v>1.0033898305084745</v>
      </c>
      <c r="AE158" s="10">
        <v>0.46355932203389838</v>
      </c>
      <c r="AF158" s="10">
        <f>0.754883/1.18</f>
        <v>0.63973135593220343</v>
      </c>
      <c r="AG158" s="10">
        <v>0</v>
      </c>
      <c r="AH158" s="39">
        <v>4.5254237288135597</v>
      </c>
      <c r="AI158" s="10">
        <v>14.465254237288136</v>
      </c>
      <c r="AJ158" s="10">
        <v>4.7042372881355936</v>
      </c>
      <c r="AK158" s="3">
        <f t="shared" si="45"/>
        <v>16.108375423728813</v>
      </c>
      <c r="AL158" s="3">
        <f t="shared" si="46"/>
        <v>10.872782203389832</v>
      </c>
      <c r="AM158" s="12" t="s">
        <v>359</v>
      </c>
    </row>
  </sheetData>
  <autoFilter ref="A17:AM158"/>
  <mergeCells count="34">
    <mergeCell ref="A11:AM11"/>
    <mergeCell ref="A12:AM12"/>
    <mergeCell ref="AL1:AP1"/>
    <mergeCell ref="AL2:AP2"/>
    <mergeCell ref="AL3:AP3"/>
    <mergeCell ref="A6:AM6"/>
    <mergeCell ref="A8:AM8"/>
    <mergeCell ref="A9:AM9"/>
    <mergeCell ref="A10:AM10"/>
    <mergeCell ref="A13:AL13"/>
    <mergeCell ref="A14:A16"/>
    <mergeCell ref="B14:B16"/>
    <mergeCell ref="C14:C16"/>
    <mergeCell ref="D14:D16"/>
    <mergeCell ref="E14:E16"/>
    <mergeCell ref="F14:G15"/>
    <mergeCell ref="H14:I15"/>
    <mergeCell ref="J14:J16"/>
    <mergeCell ref="AM14:AM16"/>
    <mergeCell ref="K15:O15"/>
    <mergeCell ref="P15:T15"/>
    <mergeCell ref="U15:V15"/>
    <mergeCell ref="W15:X15"/>
    <mergeCell ref="K14:T14"/>
    <mergeCell ref="U14:Z14"/>
    <mergeCell ref="AA14:AB15"/>
    <mergeCell ref="AC14:AL14"/>
    <mergeCell ref="AL15:AL16"/>
    <mergeCell ref="Y15:Z15"/>
    <mergeCell ref="AC15:AD15"/>
    <mergeCell ref="AE15:AF15"/>
    <mergeCell ref="AG15:AH15"/>
    <mergeCell ref="AI15:AJ15"/>
    <mergeCell ref="AK15:AK16"/>
  </mergeCells>
  <dataValidations count="1">
    <dataValidation allowBlank="1" showInputMessage="1" showErrorMessage="1" errorTitle="ОШИБКА ВВОДА" error="Необходимо вводить только числа с использованием точки в качестве десятичного разделителя" sqref="AD67 J67"/>
  </dataValidations>
  <pageMargins left="0.7" right="0.7" top="0.75" bottom="0.75" header="0.3" footer="0.3"/>
  <pageSetup paperSize="9" orientation="portrait" verticalDpi="0" r:id="rId1"/>
  <ignoredErrors>
    <ignoredError sqref="AK82:AL82 AK62:AL62 P62 AJ75" formula="1"/>
    <ignoredError sqref="P36:AB36" formulaRange="1"/>
    <ignoredError sqref="AD67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3. План освоен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2018-04-03T04:27:31Z</dcterms:modified>
</cp:coreProperties>
</file>