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909" firstSheet="5" activeTab="5"/>
  </bookViews>
  <sheets>
    <sheet name="приложение 1.4" sheetId="1" state="hidden" r:id="rId1"/>
    <sheet name="5" sheetId="2" state="hidden" r:id="rId2"/>
    <sheet name="6.1" sheetId="3" state="hidden" r:id="rId3"/>
    <sheet name="6.2" sheetId="4" state="hidden" r:id="rId4"/>
    <sheet name="6.3" sheetId="5" state="hidden" r:id="rId5"/>
    <sheet name="7.1" sheetId="6" r:id="rId6"/>
    <sheet name="7.2" sheetId="7" r:id="rId7"/>
    <sheet name="8" sheetId="8" r:id="rId8"/>
    <sheet name="9" sheetId="9" r:id="rId9"/>
    <sheet name="10 (ДЭС с.Ковран) " sheetId="10" r:id="rId10"/>
    <sheet name="10 (ГСМ склад с.Ковран)" sheetId="11" r:id="rId11"/>
    <sheet name="10 (ГСМ склад с.Вывенка)" sheetId="12" r:id="rId12"/>
    <sheet name="10 (ГСМ склад с.Тиличики)" sheetId="13" r:id="rId13"/>
    <sheet name="10 (ГСМ склад с.Апука) " sheetId="14" r:id="rId14"/>
    <sheet name="10 (ДЭС с.Пахачи) " sheetId="15" r:id="rId15"/>
    <sheet name="10 (ДЭС с.Усть-Хайрюзово)" sheetId="16" r:id="rId16"/>
    <sheet name="10 (ДЭС с.Средние Пахачи)" sheetId="17" r:id="rId17"/>
    <sheet name="11.1 (ДЭС с.Ковран) " sheetId="18" r:id="rId18"/>
    <sheet name="11.1 (ГСМ склад с.Ковран)  " sheetId="19" r:id="rId19"/>
    <sheet name="11.1 (ГСМ склад с.Вывенка)" sheetId="20" r:id="rId20"/>
    <sheet name="11.1 (ГСМ склад с.Тиличики)" sheetId="21" r:id="rId21"/>
    <sheet name="11.1 (ГСМ склад с.Апука)  " sheetId="22" r:id="rId22"/>
    <sheet name="11.1 (ДЭС с.Пахачи) " sheetId="23" r:id="rId23"/>
    <sheet name="11.1 (ДЭС-5 с.УХ)" sheetId="24" r:id="rId24"/>
    <sheet name="11.1 (один ДГУ СрПах)" sheetId="25" r:id="rId25"/>
    <sheet name="11.2 (ДЭС с.Ковран)" sheetId="26" r:id="rId26"/>
    <sheet name="11.2 (Склад ГСМ с.Ковран)" sheetId="27" r:id="rId27"/>
    <sheet name="11.2 (Склад ГСМ с.Вывенка)" sheetId="28" r:id="rId28"/>
    <sheet name="11.2 (Склад ГСМ с.Тиличики)" sheetId="29" r:id="rId29"/>
    <sheet name="11.2 (Склад ГСМ с.Апука) " sheetId="30" r:id="rId30"/>
    <sheet name="11.2 (ДЭС с. Пахачи) " sheetId="31" r:id="rId31"/>
    <sheet name="11.2 (ДЭС-5 с. УХ)" sheetId="32" r:id="rId32"/>
    <sheet name="11.2 (один ДГУ СрПах)" sheetId="33" r:id="rId33"/>
    <sheet name="12" sheetId="34" r:id="rId34"/>
    <sheet name="13" sheetId="35" r:id="rId35"/>
    <sheet name="ФОТ" sheetId="36" state="hidden" r:id="rId36"/>
    <sheet name="Лист1" sheetId="37" state="hidden" r:id="rId37"/>
  </sheets>
  <definedNames>
    <definedName name="_xlnm.Print_Titles" localSheetId="1">'5'!$14:$16</definedName>
    <definedName name="_xlnm.Print_Area" localSheetId="13">'10 (ГСМ склад с.Апука) '!$A$1:$B$100</definedName>
    <definedName name="_xlnm.Print_Area" localSheetId="11">'10 (ГСМ склад с.Вывенка)'!$A$1:$B$100</definedName>
    <definedName name="_xlnm.Print_Area" localSheetId="10">'10 (ГСМ склад с.Ковран)'!$A$1:$B$100</definedName>
    <definedName name="_xlnm.Print_Area" localSheetId="12">'10 (ГСМ склад с.Тиличики)'!$A$1:$B$100</definedName>
    <definedName name="_xlnm.Print_Area" localSheetId="9">'10 (ДЭС с.Ковран) '!$A$1:$B$105</definedName>
    <definedName name="_xlnm.Print_Area" localSheetId="14">'10 (ДЭС с.Пахачи) '!$A$1:$B$100</definedName>
    <definedName name="_xlnm.Print_Area" localSheetId="16">'10 (ДЭС с.Средние Пахачи)'!$A$1:$B$100</definedName>
    <definedName name="_xlnm.Print_Area" localSheetId="15">'10 (ДЭС с.Усть-Хайрюзово)'!$A$1:$B$100</definedName>
    <definedName name="_xlnm.Print_Area" localSheetId="21">'11.1 (ГСМ склад с.Апука)  '!$A$1:$N$39</definedName>
    <definedName name="_xlnm.Print_Area" localSheetId="19">'11.1 (ГСМ склад с.Вывенка)'!$A$1:$N$37</definedName>
    <definedName name="_xlnm.Print_Area" localSheetId="18">'11.1 (ГСМ склад с.Ковран)  '!$A$1:$N$40</definedName>
    <definedName name="_xlnm.Print_Area" localSheetId="20">'11.1 (ГСМ склад с.Тиличики)'!$A$1:$N$37</definedName>
    <definedName name="_xlnm.Print_Area" localSheetId="17">'11.1 (ДЭС с.Ковран) '!$A$1:$N$39</definedName>
    <definedName name="_xlnm.Print_Area" localSheetId="22">'11.1 (ДЭС с.Пахачи) '!$A$1:$N$41</definedName>
    <definedName name="_xlnm.Print_Area" localSheetId="23">'11.1 (ДЭС-5 с.УХ)'!$A$1:$N$37</definedName>
    <definedName name="_xlnm.Print_Area" localSheetId="24">'11.1 (один ДГУ СрПах)'!$A$1:$N$31</definedName>
    <definedName name="_xlnm.Print_Area" localSheetId="30">'11.2 (ДЭС с. Пахачи) '!$A$1:$C$39</definedName>
    <definedName name="_xlnm.Print_Area" localSheetId="25">'11.2 (ДЭС с.Ковран)'!$A$1:$C$39</definedName>
    <definedName name="_xlnm.Print_Area" localSheetId="31">'11.2 (ДЭС-5 с. УХ)'!$A$1:$C$39</definedName>
    <definedName name="_xlnm.Print_Area" localSheetId="32">'11.2 (один ДГУ СрПах)'!$A$1:$C$39</definedName>
    <definedName name="_xlnm.Print_Area" localSheetId="29">'11.2 (Склад ГСМ с.Апука) '!$A$1:$C$39</definedName>
    <definedName name="_xlnm.Print_Area" localSheetId="27">'11.2 (Склад ГСМ с.Вывенка)'!$A$1:$C$39</definedName>
    <definedName name="_xlnm.Print_Area" localSheetId="26">'11.2 (Склад ГСМ с.Ковран)'!$A$1:$C$39</definedName>
    <definedName name="_xlnm.Print_Area" localSheetId="28">'11.2 (Склад ГСМ с.Тиличики)'!$A$1:$C$39</definedName>
    <definedName name="_xlnm.Print_Area" localSheetId="33">'12'!$A$1:$C$55</definedName>
    <definedName name="_xlnm.Print_Area" localSheetId="34">'13'!$A$1:$K$28</definedName>
    <definedName name="_xlnm.Print_Area" localSheetId="1">'5'!$A$1:$F$89</definedName>
    <definedName name="_xlnm.Print_Area" localSheetId="2">'6.1'!$A$1:$M$35</definedName>
    <definedName name="_xlnm.Print_Area" localSheetId="3">'6.2'!$A$1:$E$49</definedName>
    <definedName name="_xlnm.Print_Area" localSheetId="4">'6.3'!$A$1:$F$23</definedName>
    <definedName name="_xlnm.Print_Area" localSheetId="5">'7.1'!$A$1:$W$46</definedName>
    <definedName name="_xlnm.Print_Area" localSheetId="6">'7.2'!$A$1:$AJ$43</definedName>
    <definedName name="_xlnm.Print_Area" localSheetId="7">'8'!$A$1:$M$51</definedName>
    <definedName name="_xlnm.Print_Area" localSheetId="8">'9'!$A$1:$V$32</definedName>
    <definedName name="_xlnm.Print_Area" localSheetId="35">'ФОТ'!$A$1:$G$54</definedName>
  </definedNames>
  <calcPr fullCalcOnLoad="1"/>
</workbook>
</file>

<file path=xl/comments34.xml><?xml version="1.0" encoding="utf-8"?>
<comments xmlns="http://schemas.openxmlformats.org/spreadsheetml/2006/main">
  <authors>
    <author>Корякэнерго</author>
    <author>fin2</author>
  </authors>
  <commentList>
    <comment ref="B19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=Выручка+выпадающие доходы по данным ОС без НДС по ОАО "Корякэнерго" электроэнергия в целом с 2015 года</t>
        </r>
      </text>
    </comment>
    <comment ref="B20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=Выручка+выпадающие-расходы-себестоимость
 (по ОАО "Корякэнерго"в целом электроэнергия с 2015 г.)
</t>
        </r>
      </text>
    </comment>
    <comment ref="B26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По данным ОС (в целом по ОАО "Корякэнерго" с 2015 г)</t>
        </r>
      </text>
    </comment>
    <comment ref="B28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"Итого собственные средства"</t>
        </r>
      </text>
    </comment>
    <comment ref="B29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"Привлеченные средства, кредиты"
</t>
        </r>
      </text>
    </comment>
    <comment ref="B40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 7.1 "Проценты по кредиту"</t>
        </r>
      </text>
    </comment>
    <comment ref="C19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В целом по ОАО "Корякэнерго" электроэнергия</t>
        </r>
      </text>
    </comment>
    <comment ref="C20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В целом по ОАО "Корякэнерго" электроэнергия</t>
        </r>
      </text>
    </comment>
    <comment ref="C26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В целом по ОАО "Корякэнерго" электроэнергия</t>
        </r>
      </text>
    </comment>
    <comment ref="B43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оплачено по факту за 2014-2015</t>
        </r>
      </text>
    </comment>
    <comment ref="B42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утвержденная инвест 2014-2015</t>
        </r>
      </text>
    </comment>
    <comment ref="B44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собственные соедства за 2014-2015 год факт</t>
        </r>
      </text>
    </comment>
  </commentList>
</comments>
</file>

<file path=xl/comments6.xml><?xml version="1.0" encoding="utf-8"?>
<comments xmlns="http://schemas.openxmlformats.org/spreadsheetml/2006/main">
  <authors>
    <author>Корякэнерго</author>
  </authors>
  <commentList>
    <comment ref="AO25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с НДС</t>
        </r>
      </text>
    </comment>
  </commentList>
</comments>
</file>

<file path=xl/sharedStrings.xml><?xml version="1.0" encoding="utf-8"?>
<sst xmlns="http://schemas.openxmlformats.org/spreadsheetml/2006/main" count="2838" uniqueCount="749">
  <si>
    <t>5.4.</t>
  </si>
  <si>
    <t>1.5.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</si>
  <si>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</si>
  <si>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</si>
  <si>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</si>
  <si>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</si>
  <si>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</si>
  <si>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</si>
  <si>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</si>
  <si>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</si>
  <si>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</si>
  <si>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</si>
  <si>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</si>
  <si>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</si>
  <si>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</si>
  <si>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</si>
  <si>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</si>
  <si>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</si>
  <si>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</si>
  <si>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</si>
  <si>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</si>
  <si>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</si>
  <si>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</si>
  <si>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</si>
  <si>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</si>
  <si>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</si>
  <si>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</si>
  <si>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</si>
  <si>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</si>
  <si>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</si>
  <si>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</si>
  <si>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</si>
  <si>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</si>
  <si>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</si>
  <si>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</si>
  <si>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</si>
  <si>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</si>
  <si>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</si>
  <si>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</si>
  <si>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</si>
  <si>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</si>
  <si>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</si>
  <si>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</si>
  <si>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</si>
  <si>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</si>
  <si>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</si>
  <si>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</si>
  <si>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</si>
  <si>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</si>
  <si>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</si>
  <si>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от «___»________2010 г. №____</t>
  </si>
  <si>
    <t>Приложение  № 8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</si>
  <si>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</si>
  <si>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</si>
  <si>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</si>
  <si>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</si>
  <si>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</si>
  <si>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</si>
  <si>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</si>
  <si>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</si>
  <si>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</si>
  <si>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</si>
  <si>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</si>
  <si>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</si>
  <si>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</si>
  <si>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</si>
  <si>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</si>
  <si>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</si>
  <si>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</si>
  <si>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</si>
  <si>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</si>
  <si>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</si>
  <si>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</si>
  <si>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</si>
  <si>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</si>
  <si>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</si>
  <si>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</si>
  <si>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</si>
  <si>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</si>
  <si>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</si>
  <si>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</si>
  <si>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</si>
  <si>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</si>
  <si>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</si>
  <si>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</si>
  <si>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</si>
  <si>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</si>
  <si>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</si>
  <si>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</si>
  <si>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</si>
  <si>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</si>
  <si>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</si>
  <si>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</si>
  <si>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</si>
  <si>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</si>
  <si>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</si>
  <si>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</si>
  <si>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</si>
  <si>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</si>
  <si>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</si>
  <si>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</si>
  <si>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</si>
  <si>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</si>
  <si>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</si>
  <si>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</si>
  <si>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</si>
  <si>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</si>
  <si>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</si>
  <si>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</si>
  <si>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</si>
  <si>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</si>
  <si>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</si>
  <si>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</si>
  <si>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</si>
  <si>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</si>
  <si>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</si>
  <si>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</si>
  <si>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</si>
  <si>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</si>
  <si>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</si>
  <si>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</si>
  <si>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</si>
  <si>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</si>
  <si>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</si>
  <si>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</si>
  <si>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</si>
  <si>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</si>
  <si>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</si>
  <si>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</si>
  <si>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</si>
  <si>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</si>
  <si>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</si>
  <si>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</si>
  <si>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</si>
  <si>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</si>
  <si>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</si>
  <si>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</si>
  <si>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</si>
  <si>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</si>
  <si>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</si>
  <si>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</si>
  <si>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</si>
  <si>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</si>
  <si>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</si>
  <si>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</si>
  <si>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</si>
  <si>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</si>
  <si>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</si>
  <si>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</si>
  <si>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</si>
  <si>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</si>
  <si>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</si>
  <si>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</si>
  <si>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</si>
  <si>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</si>
  <si>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</si>
  <si>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</si>
  <si>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</si>
  <si>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Форма представления показателей финансовой отчетности 
(представляется ежеквартально)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</si>
  <si>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</si>
  <si>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</si>
  <si>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</si>
  <si>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</si>
  <si>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</si>
  <si>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</si>
  <si>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</si>
  <si>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</si>
  <si>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>7.</t>
  </si>
  <si>
    <t>Таблица № П1.16.</t>
  </si>
  <si>
    <r>
      <t xml:space="preserve">Расчет расходов на оплату труда   Электроэнергия </t>
    </r>
    <r>
      <rPr>
        <b/>
        <sz val="14"/>
        <color indexed="17"/>
        <rFont val="Times New Roman Cyr"/>
        <family val="1"/>
      </rPr>
      <t>Сводная</t>
    </r>
  </si>
  <si>
    <t>ОАО "Корякэнерго" свод</t>
  </si>
  <si>
    <t>№</t>
  </si>
  <si>
    <t>Ед.изм.</t>
  </si>
  <si>
    <t>Утверждено Региональной службой по тарифам и ценам Камчатского края на 2013 г.</t>
  </si>
  <si>
    <t>Численность</t>
  </si>
  <si>
    <t xml:space="preserve">Численность ППП </t>
  </si>
  <si>
    <t>чел.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</si>
  <si>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</si>
  <si>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</si>
  <si>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</si>
  <si>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</si>
  <si>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</si>
  <si>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</t>
  </si>
  <si>
    <t>Тарифный коэффициент соответствующий ступени по оплате труда</t>
  </si>
  <si>
    <t>Среднемесячная тарифная ставка ППП</t>
  </si>
  <si>
    <t xml:space="preserve"> - " -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</si>
  <si>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</si>
  <si>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</si>
  <si>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</si>
  <si>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</si>
  <si>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</si>
  <si>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</si>
  <si>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</si>
  <si>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</si>
  <si>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</si>
  <si>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</si>
  <si>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</si>
  <si>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</si>
  <si>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</si>
  <si>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</si>
  <si>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</si>
  <si>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</si>
  <si>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</si>
  <si>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</si>
  <si>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</si>
  <si>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</si>
  <si>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</si>
  <si>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</si>
  <si>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Итого среднемесячная оплата труда на 1 работника</t>
  </si>
  <si>
    <t>Компенсация отпуска уволенным, сокращенным</t>
  </si>
  <si>
    <t>тыс.руб.</t>
  </si>
  <si>
    <t xml:space="preserve">Выходное пособие при сокращении </t>
  </si>
  <si>
    <t>Пособие на период трудоустройства</t>
  </si>
  <si>
    <t>Итого:</t>
  </si>
  <si>
    <t>Расчет средств на оплату труда ППП (включенного в себестоимость)</t>
  </si>
  <si>
    <t>Льготный проезд к месту отдыха</t>
  </si>
  <si>
    <t xml:space="preserve">Оценочные обязательства по отпускам </t>
  </si>
  <si>
    <t xml:space="preserve"> -" -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</si>
  <si>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</si>
  <si>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</si>
  <si>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</si>
  <si>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</si>
  <si>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По постановлению от 03.11.94 г. №1206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</si>
  <si>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</si>
  <si>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</si>
  <si>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</si>
  <si>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</si>
  <si>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</si>
  <si>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</si>
  <si>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</si>
  <si>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</si>
  <si>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План ЭСО на 2014 г.</t>
  </si>
  <si>
    <t>План ЭСО на 2015 г.</t>
  </si>
  <si>
    <t>План ЭСО на 2016 г.</t>
  </si>
  <si>
    <t>Процент роста ФОТ</t>
  </si>
  <si>
    <t>Генеральный директор ОАО "Корякэнерго"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</si>
  <si>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</si>
  <si>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</si>
  <si>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</si>
  <si>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</si>
  <si>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</si>
  <si>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</si>
  <si>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</si>
  <si>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</si>
  <si>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</si>
  <si>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</si>
  <si>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</si>
  <si>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</si>
  <si>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</si>
  <si>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</si>
  <si>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</si>
  <si>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</si>
  <si>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</si>
  <si>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</si>
  <si>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</si>
  <si>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</si>
  <si>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</si>
  <si>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</si>
  <si>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</si>
  <si>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</si>
  <si>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</si>
  <si>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</si>
  <si>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</si>
  <si>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</si>
  <si>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</si>
  <si>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</si>
  <si>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</si>
  <si>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</si>
  <si>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</si>
  <si>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</si>
  <si>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</si>
  <si>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</si>
  <si>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</si>
  <si>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</si>
  <si>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</si>
  <si>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</si>
  <si>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</si>
  <si>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</si>
  <si>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</si>
  <si>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</si>
  <si>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</si>
  <si>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</si>
  <si>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</si>
  <si>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</si>
  <si>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</si>
  <si>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</si>
  <si>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</si>
  <si>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</si>
  <si>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</si>
  <si>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</si>
  <si>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</si>
  <si>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</si>
  <si>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</si>
  <si>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</si>
  <si>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</si>
  <si>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</si>
  <si>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</si>
  <si>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</si>
  <si>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</si>
  <si>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</si>
  <si>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</si>
  <si>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</si>
  <si>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</si>
  <si>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</si>
  <si>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</si>
  <si>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</si>
  <si>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</si>
  <si>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</si>
  <si>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</si>
  <si>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</si>
  <si>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</si>
  <si>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</si>
  <si>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</si>
  <si>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</si>
  <si>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</si>
  <si>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</si>
  <si>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</si>
  <si>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</si>
  <si>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</si>
  <si>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</si>
  <si>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</si>
  <si>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</si>
  <si>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</si>
  <si>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</si>
  <si>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</si>
  <si>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</si>
  <si>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</si>
  <si>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</si>
  <si>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</si>
  <si>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</si>
  <si>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</si>
  <si>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</si>
  <si>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</si>
  <si>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</si>
  <si>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</si>
  <si>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</si>
  <si>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</si>
  <si>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</si>
  <si>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</si>
  <si>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</si>
  <si>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</si>
  <si>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</si>
  <si>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</si>
  <si>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</si>
  <si>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</si>
  <si>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</si>
  <si>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</si>
  <si>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</si>
  <si>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</si>
  <si>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</si>
  <si>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</si>
  <si>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</si>
  <si>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</si>
  <si>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</si>
  <si>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</si>
  <si>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</si>
  <si>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</si>
  <si>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</si>
  <si>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</si>
  <si>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</si>
  <si>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</si>
  <si>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</si>
  <si>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</si>
  <si>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</si>
  <si>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</si>
  <si>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3.1.</t>
  </si>
  <si>
    <t>3.2.</t>
  </si>
  <si>
    <t>3.3.</t>
  </si>
  <si>
    <t>____________________Е.Н. Кондращенко</t>
  </si>
  <si>
    <t>«_____» ___________________ 2013 года</t>
  </si>
  <si>
    <t>Строительство газо-дизельной электростанции в п. Крутогоровский Соболевского района Камчатского края</t>
  </si>
  <si>
    <t>Газо-дизельная электростанция п. Крутогоровский</t>
  </si>
  <si>
    <t>Объем финансирования
 [2012]</t>
  </si>
  <si>
    <t>Закупочные процедуры по лоту Строительство "под ключ" объекта "Газопоршневая электростанция" (ГПЭС) п.Крутогоровский Камчатского края состоялись в марте 2013 года. По итогу заключен договор от 15.04.2013г. №ГДЭС-1/07 с "Дальэнергомантаж"</t>
  </si>
  <si>
    <t>1,728 МВт</t>
  </si>
  <si>
    <t>Начальник ОЭП                                                                             Е.Ю. Лукьяненко</t>
  </si>
  <si>
    <t>Начальник ПТО                                                                      С.А. Апекин</t>
  </si>
  <si>
    <t xml:space="preserve">другое (покрытие убытков по другим энергорайонам) </t>
  </si>
  <si>
    <t>Всего потребность в финансировании инвестиционной программы с НДС</t>
  </si>
  <si>
    <t>от 24.03.2010 г. №114</t>
  </si>
  <si>
    <t>Введено (оформлено актами ввода в эксплуатацию)
млн.рублей</t>
  </si>
  <si>
    <t>1.1.1</t>
  </si>
  <si>
    <t>1.1.2</t>
  </si>
  <si>
    <t>Реконструкция электроснабжения с. Ковран (Установка модульной ДЭС в с. Ковран)</t>
  </si>
  <si>
    <t>1.1.3</t>
  </si>
  <si>
    <t>Реконструкция электроснабжения с. Пахачи (Строительство ДЭС в п. Пахачи)</t>
  </si>
  <si>
    <t>1.1.4</t>
  </si>
  <si>
    <t>1.1.9</t>
  </si>
  <si>
    <t>1.1.10</t>
  </si>
  <si>
    <t>1.1.11</t>
  </si>
  <si>
    <t>1.1.12</t>
  </si>
  <si>
    <t>1.1.13</t>
  </si>
  <si>
    <t>1.1.14</t>
  </si>
  <si>
    <t>1.1.15</t>
  </si>
  <si>
    <t>1.1.5</t>
  </si>
  <si>
    <t>Строительство склада ГСМ в с. Ковран</t>
  </si>
  <si>
    <t>Строительство базового склада ГСМ 400м3 в с. Апука</t>
  </si>
  <si>
    <t xml:space="preserve">    на 2014 г. </t>
  </si>
  <si>
    <t xml:space="preserve">    на период 2014-2016 гг.</t>
  </si>
  <si>
    <t>год</t>
  </si>
  <si>
    <t xml:space="preserve">Полезный отпуск </t>
  </si>
  <si>
    <t>Олюторский район</t>
  </si>
  <si>
    <t>Тигильский район</t>
  </si>
  <si>
    <t>1 квартал</t>
  </si>
  <si>
    <t>2 квартал</t>
  </si>
  <si>
    <t>3 квартал</t>
  </si>
  <si>
    <t xml:space="preserve">4 квартал </t>
  </si>
  <si>
    <t>Приложение  № 10</t>
  </si>
  <si>
    <t>Местоположение объекта (субъект РФ,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</si>
  <si>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</si>
  <si>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</si>
  <si>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</si>
  <si>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отчётную дату</t>
  </si>
  <si>
    <t>Проектная документация</t>
  </si>
  <si>
    <t>Не требуется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</si>
  <si>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</si>
  <si>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</si>
  <si>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</si>
  <si>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</si>
  <si>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</si>
  <si>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</si>
  <si>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</si>
  <si>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</si>
  <si>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Дизельное топливо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</si>
  <si>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</si>
  <si>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</si>
  <si>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</si>
  <si>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</si>
  <si>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</si>
  <si>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</si>
  <si>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</si>
  <si>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2012 года с НДС, млн. руб.</t>
  </si>
  <si>
    <t>Документ, в соответствии с которым определена стоимость проекта</t>
  </si>
  <si>
    <t>Сметный расчет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</si>
  <si>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</si>
  <si>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</si>
  <si>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</si>
  <si>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ИП Топчевод В.В. (упрощенная система налогообложения)  договор подряда №Т-ДГ-19/06 от 19.06.2014г. с д/с №1 от 23.06.2014г.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</si>
  <si>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</si>
  <si>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</si>
  <si>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</si>
  <si>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</si>
  <si>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</si>
  <si>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</si>
  <si>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</si>
  <si>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</si>
  <si>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</si>
  <si>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</si>
  <si>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</si>
  <si>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</si>
  <si>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</si>
  <si>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</si>
  <si>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</si>
  <si>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- заказчик-застройщик</t>
  </si>
  <si>
    <t>ОАО "Корякэнерго"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</si>
  <si>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</si>
  <si>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</si>
  <si>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</si>
  <si>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</si>
  <si>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ООО "Форсайт ТехнолоджиС"</t>
  </si>
  <si>
    <t>Перечень субподрядных организаций, участвующих в строительстве объекта</t>
  </si>
  <si>
    <t>Нет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</si>
  <si>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</si>
  <si>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</si>
  <si>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</si>
  <si>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</si>
  <si>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</si>
  <si>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</si>
  <si>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</si>
  <si>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</si>
  <si>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</si>
  <si>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</si>
  <si>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</si>
  <si>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</si>
  <si>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</si>
  <si>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</si>
  <si>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</si>
  <si>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</si>
  <si>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</si>
  <si>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</si>
  <si>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</si>
  <si>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</si>
  <si>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</si>
  <si>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</si>
  <si>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</si>
  <si>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Начальник ПТО                                                                                   С.А. Апекин</t>
  </si>
  <si>
    <t>Камчатский край, Тигильский район, с. Ковран</t>
  </si>
  <si>
    <t>реконструкция, монтаж</t>
  </si>
  <si>
    <t>0,6МВт</t>
  </si>
  <si>
    <t>2015 год - план</t>
  </si>
  <si>
    <t>Не требуется.</t>
  </si>
  <si>
    <t>189,311 тонн натур. диз.топлива в год</t>
  </si>
  <si>
    <t>Собственное.</t>
  </si>
  <si>
    <t>ООО "Форсайт ТехнолоджиС" договор поставки №ФТ-ДЭС-К-08/05 от 08.05.2014г.</t>
  </si>
  <si>
    <t>Монтаж</t>
  </si>
  <si>
    <t>225м3</t>
  </si>
  <si>
    <t>Камчатский край, Олюторский район, с. Апука</t>
  </si>
  <si>
    <t>400м3</t>
  </si>
  <si>
    <t>Камчатский край, Олюторский район, с. Пахачи</t>
  </si>
  <si>
    <t>Строительство</t>
  </si>
  <si>
    <t>1858,110 тонн натур. диз.топлива в год</t>
  </si>
  <si>
    <t>Строительство склада ГСМ в с. Вывенка</t>
  </si>
  <si>
    <t>Камчатский край, Олюторский район, с. Вывенка</t>
  </si>
  <si>
    <t>Приложение  № 11.1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</si>
  <si>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</si>
  <si>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</si>
  <si>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</si>
  <si>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</si>
  <si>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</si>
  <si>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</si>
  <si>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</si>
  <si>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</si>
  <si>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</si>
  <si>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</si>
  <si>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</si>
  <si>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1.1</t>
  </si>
  <si>
    <t xml:space="preserve">Выбор площадки строительства </t>
  </si>
  <si>
    <t>2.2</t>
  </si>
  <si>
    <t>Заключение договора на разработку рабочего проекта</t>
  </si>
  <si>
    <t>2.4</t>
  </si>
  <si>
    <t>Разработка рабочего проекта</t>
  </si>
  <si>
    <t>2.6</t>
  </si>
  <si>
    <t>Получение разрешения на строительство</t>
  </si>
  <si>
    <t>3.1</t>
  </si>
  <si>
    <t>Заключение договора с генеральным подрядчиком (EPC, EPCM) или договоров с основными подрядчиками</t>
  </si>
  <si>
    <t>3.2</t>
  </si>
  <si>
    <t>Получение правоустанавливающих документов на земельный участк под строительство</t>
  </si>
  <si>
    <t>3.3</t>
  </si>
  <si>
    <t xml:space="preserve">Заключение договоров на поставщику основного оборудования </t>
  </si>
  <si>
    <t>4.1</t>
  </si>
  <si>
    <t>Подготовка площадки строительства</t>
  </si>
  <si>
    <t>4.5</t>
  </si>
  <si>
    <t>Монтаж  основного оборудования и трубопроводов</t>
  </si>
  <si>
    <t>4.6</t>
  </si>
  <si>
    <t>Монтаж электротехнического оборудования и КиП</t>
  </si>
  <si>
    <t>6.1</t>
  </si>
  <si>
    <t xml:space="preserve">Индивидуальные испытания оборудования и функциональные испытания отдельных систем. </t>
  </si>
  <si>
    <t>6.2</t>
  </si>
  <si>
    <t>Комплексное опробование оборудования</t>
  </si>
  <si>
    <t>6.4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</si>
  <si>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</t>
  </si>
  <si>
    <t>* Заполняется согласно приложению 3.2.</t>
  </si>
  <si>
    <t>Начальник ПТО                                                                              С.А. Апекин</t>
  </si>
  <si>
    <t>1.2</t>
  </si>
  <si>
    <t>Проведение инженерных изысканий на выбранной площадке строительства</t>
  </si>
  <si>
    <t>-</t>
  </si>
  <si>
    <t>4.2</t>
  </si>
  <si>
    <t>Строительство основных сооружений (главного корпуса, гидротехнических сооружений, объектов топливного хозяйства, технического водоснабжения и др.)</t>
  </si>
  <si>
    <t>согласование земельного участка</t>
  </si>
  <si>
    <t>4.3</t>
  </si>
  <si>
    <t>Сдача основных сооружений под монтаж оборудования</t>
  </si>
  <si>
    <t>6.3</t>
  </si>
  <si>
    <t>Готовность оборудования (ОРУ, ЗРУ) для технологического присоединения к электрическим сетям</t>
  </si>
  <si>
    <t>Приложение  № 11.2</t>
  </si>
  <si>
    <t xml:space="preserve">№ п/п
п/п
</t>
  </si>
  <si>
    <t>Наименование</t>
  </si>
  <si>
    <t>Тип</t>
  </si>
  <si>
    <t xml:space="preserve">Предпроектный этап </t>
  </si>
  <si>
    <t>Проектный этап</t>
  </si>
  <si>
    <t>Организационный этап</t>
  </si>
  <si>
    <t>событие</t>
  </si>
  <si>
    <t>Строительные работы</t>
  </si>
  <si>
    <t>работа</t>
  </si>
  <si>
    <t>4.6.</t>
  </si>
  <si>
    <t>Испытания и ввод в эксплуатацию</t>
  </si>
  <si>
    <t>6.1.</t>
  </si>
  <si>
    <t>6.2.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</si>
  <si>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</si>
  <si>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</si>
  <si>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 xml:space="preserve">событие </t>
  </si>
  <si>
    <t>Приложение  № 9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</si>
  <si>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</si>
  <si>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</si>
  <si>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</si>
  <si>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</si>
  <si>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</si>
  <si>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</si>
  <si>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</si>
  <si>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</si>
  <si>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</si>
  <si>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</si>
  <si>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</si>
  <si>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</si>
  <si>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</si>
  <si>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</si>
  <si>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</si>
  <si>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1.1.6</t>
  </si>
  <si>
    <t>ООО "Дальэнергомонтаж-Камчатка" договор №ДЭМ-ГСМ-А-23/04 от 23.04.2014г. (упрощенная система налогооблажения)</t>
  </si>
  <si>
    <t>1.1.7</t>
  </si>
  <si>
    <t>1.1.8</t>
  </si>
  <si>
    <t>Карагинский район</t>
  </si>
  <si>
    <t>ООО "Дальэнергомонтаж-Камчатка" (упрощенная система налогообложения)  договор подряда №ДЭМ-Р-04/09 от 04.09.2014г.</t>
  </si>
  <si>
    <t>ООО "Камчатская кадастровая Компания"</t>
  </si>
  <si>
    <t>монтаж</t>
  </si>
  <si>
    <t>ООО "Посейдон" договор ПС-МП-17/03 от 17.03.2014 г.</t>
  </si>
  <si>
    <t>материалы</t>
  </si>
  <si>
    <t>стоимость оборудования+пуско-наладка без зп</t>
  </si>
  <si>
    <t>освоено (закрыто актами)</t>
  </si>
  <si>
    <t>1 кв.</t>
  </si>
  <si>
    <t>2 кв.</t>
  </si>
  <si>
    <t>3 кв.</t>
  </si>
  <si>
    <t>Материалы для производства работ по данному инвестпроекту приобретались и доставлялись совместно с материалами для производства ремонтных работ в течение года.</t>
  </si>
  <si>
    <t>4 кв.</t>
  </si>
  <si>
    <t>Оборудование смонтировано и введено в эксплуатацию. Приказ о вводе №854/2 "А" от 01.11.2014г.</t>
  </si>
  <si>
    <t>Постановление №270 от 20.08.2014г. Выдано Администрацией МО Тигильский МР "О выборе земельного участка"</t>
  </si>
  <si>
    <t>ИП Топчевод В.В., ООО "Авикор"</t>
  </si>
  <si>
    <t>Постановление №269 от 20.08.2014г. Выдано Администрацией МО Тигильский МР "О выборе земельного участка"</t>
  </si>
  <si>
    <t xml:space="preserve">ООО "Дальэнергомонтаж-Камчатка"  </t>
  </si>
  <si>
    <t>Постановление №118 от 28.04.2014г. Выдано Администрацией МО Олюторский МР "О выборе земельного участка"</t>
  </si>
  <si>
    <t>Устанавливается на существующем земельном участке вблизи здания ДЭС. Кад.№ участка:  82:03:000004:99</t>
  </si>
  <si>
    <t>ООО "Дальэнергомонтаж-Камчатка", ООО "Посейдон"</t>
  </si>
  <si>
    <t>ООО "ФорсайтТехнолоджис" Договор подряда № 14П913001 от 26.11.2014 г.</t>
  </si>
  <si>
    <t xml:space="preserve">ООО "ФорсайтТехнолоджис" </t>
  </si>
  <si>
    <t>ООО "ФорсайтТехнолоджис"</t>
  </si>
  <si>
    <t>Задержка в оформлении земельного участка</t>
  </si>
  <si>
    <t>монтаж и подключение</t>
  </si>
  <si>
    <t>ООО "Авикор" договор подряда №А-МП-ДЭС-03/10 от 03.10.2014 г. (упрощенная система налогообложения)</t>
  </si>
  <si>
    <t>поставка, монтаж</t>
  </si>
  <si>
    <t>межевание</t>
  </si>
  <si>
    <t>ОАО "Корякэнерго", приказ об утверждении инвестиционной программы № 369-ОД от 25.09.2014 года</t>
  </si>
  <si>
    <t>Строительство склада ГСМ в с.Тиличики 1000м3</t>
  </si>
  <si>
    <t>Реконструкция электроснабжения с. Усть-Хайрюзово (техническое перевооружение ДЭС)</t>
  </si>
  <si>
    <t>Установка одного ДГУ на ДЭС-16 п.Средние Пахачи</t>
  </si>
  <si>
    <t>Объем финансирования
 [2015]</t>
  </si>
  <si>
    <t>1 кв. 2015 г.</t>
  </si>
  <si>
    <t>2 кв. 2015 г.</t>
  </si>
  <si>
    <t>3 кв. 2015 г.</t>
  </si>
  <si>
    <t>4 кв. 2015 г.</t>
  </si>
  <si>
    <t>2015 г.</t>
  </si>
  <si>
    <t xml:space="preserve">На конец 2014 года / За 2014 год </t>
  </si>
  <si>
    <t>Мильковский район</t>
  </si>
  <si>
    <t>Итого</t>
  </si>
  <si>
    <t>1000м3</t>
  </si>
  <si>
    <t>250м3</t>
  </si>
  <si>
    <t>нет</t>
  </si>
  <si>
    <t>225 м3</t>
  </si>
  <si>
    <t>ООО Камчатская кадастровая Компания" договор межевания земельного участка №К-М-Т-26/08 от 26 августа 2014г., дополнительное соглашение 1 от 05 ноября 2014 г. (упрощенная система налогообложения)</t>
  </si>
  <si>
    <t>400 м3</t>
  </si>
  <si>
    <t>ООО "Камчатская кадастровая Компания" договор межевания земельного участка №К-ЗУ-05/06 от 05.06.2014г.(упрощенная система налогообложения)</t>
  </si>
  <si>
    <t xml:space="preserve">Строительство склада ГСМ в с.Тиличики </t>
  </si>
  <si>
    <t>Камчатский край, Олюторский район, с.Тиличики</t>
  </si>
  <si>
    <t>1000 м3</t>
  </si>
  <si>
    <t xml:space="preserve">ОАО "Корякэнерго" </t>
  </si>
  <si>
    <t>Постановление № 206 от 14.07.2014г. Выдано Администрацией МО Олюторский МР "О  согласовании земельного участка"</t>
  </si>
  <si>
    <t>ФГУ "РГЦИУОН - Федеральное бюро технической инвентаризации". Договор №БТИ-М-П-27/08 от 27.08.2014г.</t>
  </si>
  <si>
    <t>Камчатский край, Тигильский район, с.Усть-Хайрюзово</t>
  </si>
  <si>
    <t>2016 год - план</t>
  </si>
  <si>
    <t>ООО "Форсайт-Технолоджис"</t>
  </si>
  <si>
    <t>1306,645 тонн натур.диз.топлива в год</t>
  </si>
  <si>
    <t>Собственное</t>
  </si>
  <si>
    <t>Камчатский край, Олюторский район, с.Средние Пахачи</t>
  </si>
  <si>
    <t>Реконструкция</t>
  </si>
  <si>
    <t>281,531 тонн натур.диз.топлива в год</t>
  </si>
  <si>
    <t>ООО "РЕИНИ" договор поставки № 15W713002 от 29.01.2015 г., с д/с № 1 от 10.02.2015 г.</t>
  </si>
  <si>
    <t xml:space="preserve">ООО "РЕИНИ"   </t>
  </si>
  <si>
    <t>Введен в 2014 году</t>
  </si>
  <si>
    <t xml:space="preserve">Заключение договоров на поставку основного оборудования </t>
  </si>
  <si>
    <t>+</t>
  </si>
  <si>
    <t>не требуется</t>
  </si>
  <si>
    <t>ООО "Форсайт Технолоджис" договор подряда №15ПР13001 от 18 марта 2015 г.</t>
  </si>
  <si>
    <t>2014 год</t>
  </si>
  <si>
    <t>НВВ факт</t>
  </si>
  <si>
    <t>Выручка+внереализ.доходы</t>
  </si>
  <si>
    <t>Начальник ПТО                                                                                                                                                      С.А.Апекин</t>
  </si>
  <si>
    <t>ООО "Камчатспецпроект"договор на проведение работ по разработке проектно-сметной документации № 15ПР13004 от 25.06.2015 г. (упрощенная система налогообложения)</t>
  </si>
  <si>
    <t>ООО "РЕИНИ" договор на выполнение работ по проведению реконструкции (технического перевооружения) ДЭС с.Усть-Хаюрюзово № 15П913001 от 20.05.2015 г.</t>
  </si>
  <si>
    <t>ООО "Камчатспецпроект"</t>
  </si>
  <si>
    <t>____________________С.А.Кулинич</t>
  </si>
  <si>
    <t>Заместитель генерального директора по экономике, финансам и сбыту                                                                                                                                                    Е.Ю.Лукьяненко</t>
  </si>
  <si>
    <t>Заместитель генерального директора по экономике, финансам и сбыту</t>
  </si>
  <si>
    <t>Е.Ю.Лукьяненко</t>
  </si>
  <si>
    <t>Заместитель генерального директора по экономике, финансам и сбыту                                                                                                        Е.Ю.Лукьяненко</t>
  </si>
  <si>
    <t>Заместитель генерального директора по экономике, финансам и сбыту                                               Е.Ю. Лукьяненко</t>
  </si>
  <si>
    <t>Соболевский район</t>
  </si>
  <si>
    <t>кредитные средства по инвест</t>
  </si>
  <si>
    <t>привлеченные кредитные средства план</t>
  </si>
  <si>
    <t>% по кредиту факт</t>
  </si>
  <si>
    <t>% по кредиту план</t>
  </si>
  <si>
    <t>2,08МВт</t>
  </si>
  <si>
    <t>2018 год - план</t>
  </si>
  <si>
    <t>3,6МВт</t>
  </si>
  <si>
    <t>0,4 МВт</t>
  </si>
  <si>
    <t>2016-2018 годы - план</t>
  </si>
  <si>
    <t>"Реконструкция и развитие электроснабжения ОАО "Корякэнерго"</t>
  </si>
  <si>
    <t>0,4МВт</t>
  </si>
  <si>
    <t>план ввода - 2016 год</t>
  </si>
  <si>
    <t>план ввода - 2018 год</t>
  </si>
  <si>
    <t>план ввода - 2016,2017,2018</t>
  </si>
  <si>
    <t>"Реконструкция и развитие электроснабжения ОАО "Корякэнерго" (реконструкция электроснабжения с.Ковран)</t>
  </si>
  <si>
    <t>"Реконструкция и развитие электроснабжения ОАО "Корякэнерго" (строительство склада ГСМ в с.Ковран)</t>
  </si>
  <si>
    <t>"Реконструкция и развитие электроснабжения ОАО "Корякэнерго" (строительство склада ГСМ в с.Вывенка)</t>
  </si>
  <si>
    <t>"Реконструкция и развитие электроснабжения ОАО "Корякэнерго" (строительство склада ГСМ в с.Тиличики)</t>
  </si>
  <si>
    <t>"Реконструкция и развитие электроснабжения ОАО "Корякэнерго" (строительство базового склада ГСМ 400м3 в с.Апука)</t>
  </si>
  <si>
    <t>"Реконструкция и развитие электроснабжения ОАО "Корякэнерго" (реконструкция электроснабжения с.Пахачи)</t>
  </si>
  <si>
    <t>"Реконструкция и развитие электроснабжения ОАО "Корякэнерго" (реконструкция электроснабжения с. Усть-Хайрюзово)</t>
  </si>
  <si>
    <t>"Реконструкция и развитие электроснабжения ОАО "Корякэнерго" (установка одного ДГУ на ДЭС-16 п.Средние Пахачи)</t>
  </si>
  <si>
    <t>"Реконструкция и развитие электроснабжения ОАО "Корякэнерго" (строительство базового склада ГСМ 400 м3 в с.Апука)</t>
  </si>
  <si>
    <t>"Реконструкция и развитие электроснабжения ОАО "Корякэнерго" (реконструкция электроснабжения с.Усть-Хайрюзово)</t>
  </si>
  <si>
    <t>Генеральный директор АО "Корякэнерго"</t>
  </si>
  <si>
    <t>разница ндс 2014</t>
  </si>
  <si>
    <t>разница ндс 2015</t>
  </si>
  <si>
    <t>по плану</t>
  </si>
  <si>
    <t>2016 год-план</t>
  </si>
  <si>
    <t>разработка проектно-сметной документации</t>
  </si>
  <si>
    <t>ООО "РЕИНИ"</t>
  </si>
  <si>
    <t>Ведется поставка оборудования</t>
  </si>
  <si>
    <t>невозможность доствки оборудования в поселок</t>
  </si>
  <si>
    <t>2016 год - ввод</t>
  </si>
  <si>
    <t>план ввода - 2016год</t>
  </si>
  <si>
    <t>** - план, согласно утвержденной инвестиционной программе. Приказ № 214-ОД от 15.08.2013 г. "Об утверждении инвестиционной программы ОАО "Корякэнерго" на 2014-2016 годы" (в редакции приказа № 238-ОД от 10.09.2015 г.)</t>
  </si>
  <si>
    <t>выручка + выпадающие 9 мес</t>
  </si>
  <si>
    <t>выручка + выпадающие 3 кв</t>
  </si>
  <si>
    <t>ООО "Камчатспецпроект"договор на проведение работ по разработке проектно-сметной документации № 15ПР13007 от 01.09.2015 г. (упрощенная система налогообложения)</t>
  </si>
  <si>
    <t xml:space="preserve">ООО "Камчатспецпроект"  </t>
  </si>
  <si>
    <t>Оборудование смонтировано и введено в эксплуатацию. Приказ о вводе №654 "А" от 09.09.2015 г.</t>
  </si>
  <si>
    <t>Оборудование смонтировано и введено в эксплуатацию. Приказ о вводе №653 "А" от 09.09.2015 г.</t>
  </si>
  <si>
    <t>Выдано администрацией МО сельского поселения "село Пахачи", Олюторского района, Камчатского края, 14.08.2015 года № 41-ru82503307-01-2015</t>
  </si>
  <si>
    <t>Выполнен проект на строительство склада ГСМс.Вывенка</t>
  </si>
  <si>
    <t>Разработана, ООО "Камчатспецпроект"</t>
  </si>
  <si>
    <t xml:space="preserve"> ООО "Форсайт Технолоджис", разработана 17.03.2015 г., утверждена ООО "Управление экспертизы проектной документации и результатов инженерных изысканий" 30.04.2015 г.</t>
  </si>
  <si>
    <t>Разработана, ООО "Форсайт Технолоджис" в августе 2015 г.</t>
  </si>
  <si>
    <t>8,298/0,000</t>
  </si>
  <si>
    <t>привлеченные кредитные средства факт (таблица №8)</t>
  </si>
  <si>
    <t>Для финансирования инвестиционной программы заключен договор по открытию кредитной линии с Филиал Банка ВТБ (ПАО)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</si>
  <si>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 - 4 квартал 2015 года)</t>
  </si>
  <si>
    <t>Отчет о вводах/выводах объектов
(представляется ежеквартально -4 квартал 2015 года)</t>
  </si>
  <si>
    <t>Отчет о ходе реализации проектов (заполняется для наиболее значимых проектов*)
(представляется ежеквартально - 4 квартал 2015 года)</t>
  </si>
  <si>
    <t>Отчет об исполнении сетевых графиков строительства проектов 
(представляется ежеквартально -4 квартал 2015 года)</t>
  </si>
  <si>
    <t>Отчет об исполнении сетевых графиков строительства проектов 
(представляется ежеквартально - 4 квартал 2015 года)</t>
  </si>
  <si>
    <t>I. Контрольные  этапы реализации инвестиционного проекта для генерирующих компаний
(представляется ежеквартально - 4 квартал 2015 года)</t>
  </si>
  <si>
    <t>Финансовые показатели за отчетный период [ 4 квартал 2015 года/ 2014 год]</t>
  </si>
  <si>
    <t>Отчет о техническом состоянии объекта
(представляется ежеквартально - 4 квартал 2015 года)</t>
  </si>
  <si>
    <t>Строительство основных сооружений</t>
  </si>
  <si>
    <t>Выполнен проект на строительство склада ГСМ с.Тиличики</t>
  </si>
  <si>
    <t>ИП Топчевод В.В. договор № 15П813008 от 11.08.2015 г.(упрощенная система налогообложения)</t>
  </si>
  <si>
    <t>Изготовление фундамента для установки основного оборудования, монтаж основного оборудования</t>
  </si>
  <si>
    <t>Отчетный период  4 квартал 2015 года</t>
  </si>
  <si>
    <t>по состоянию на 01.01.2016 г.</t>
  </si>
  <si>
    <t>по состоянию на 01.01.2016г.</t>
  </si>
  <si>
    <t>21м3</t>
  </si>
  <si>
    <t>амортизация факт 2015</t>
  </si>
  <si>
    <t>разница амортизация 2015</t>
  </si>
  <si>
    <t>итого потребность в финансировании инвест 2014-2015</t>
  </si>
  <si>
    <t>собственные средства по инвест 2014-2015</t>
  </si>
  <si>
    <t>886,229/167,289</t>
  </si>
  <si>
    <t>82,879/15,346</t>
  </si>
  <si>
    <t>0,052/-20,354</t>
  </si>
  <si>
    <t>-22,356/-213,851</t>
  </si>
  <si>
    <t>«_____» ___________________ 2016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</si>
</sst>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###0.0#####"/>
    <numFmt numFmtId="173" formatCode="_-* #,##0;\(#,##0\);_-* &quot;-&quot;??;_-@"/>
    <numFmt numFmtId="174" formatCode="_(* #,##0_);_(* \(#,##0\);_(* &quot;-&quot;_);_(@_)"/>
    <numFmt numFmtId="175" formatCode="#,##0.0"/>
    <numFmt numFmtId="176" formatCode="#,##0.000"/>
    <numFmt numFmtId="177" formatCode="0.0%"/>
    <numFmt numFmtId="178" formatCode="_(* #,##0.00_);_(* \(#,##0.00\);_(* &quot;-&quot;_);_(@_)"/>
    <numFmt numFmtId="179" formatCode="0.000"/>
    <numFmt numFmtId="180" formatCode="0.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0000"/>
    <numFmt numFmtId="187" formatCode="0.0000000000"/>
    <numFmt numFmtId="188" formatCode="_-* #,##0.000_р_._-;\-* #,##0.000_р_._-;_-* &quot;-&quot;???_р_._-;_-@_-"/>
    <numFmt numFmtId="189" formatCode="0.000%"/>
    <numFmt numFmtId="190" formatCode="_(* #,##0.0_);_(* \(#,##0.0\);_(* &quot;-&quot;_);_(@_)"/>
    <numFmt numFmtId="191" formatCode="0.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0_);_(* \(#,##0.00\);_(* &quot;-&quot;??_);_(@_)"/>
    <numFmt numFmtId="197" formatCode="_(* #,##0_);_(* \(#,##0\);_(* &quot;-&quot;??_);_(@_)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  <numFmt numFmtId="213" formatCode="[$-FC19]d\ mmmm\ yyyy\ &quot;г.&quot;"/>
    <numFmt numFmtId="214" formatCode="0.000000000000"/>
    <numFmt numFmtId="215" formatCode="0.0000000000000"/>
    <numFmt numFmtId="216" formatCode="0.00000000000000"/>
    <numFmt numFmtId="217" formatCode="_-* #,##0.0_р_._-;\-* #,##0.0_р_._-;_-* &quot;-&quot;??_р_._-;_-@_-"/>
    <numFmt numFmtId="218" formatCode="_-* #,##0.000_р_._-;\-* #,##0.000_р_._-;_-* &quot;-&quot;??_р_._-;_-@_-"/>
    <numFmt numFmtId="219" formatCode="_-* #,##0.0000_р_._-;\-* #,##0.0000_р_._-;_-* &quot;-&quot;????_р_._-;_-@_-"/>
    <numFmt numFmtId="220" formatCode="_-* #,##0.0;\(#,##0.0\);_-* &quot;-&quot;??;_-@"/>
    <numFmt numFmtId="221" formatCode="_-* #,##0.00;\(#,##0.00\);_-* &quot;-&quot;??;_-@"/>
    <numFmt numFmtId="222" formatCode="_-* #,##0.000;\(#,##0.000\);_-* &quot;-&quot;??;_-@"/>
  </numFmts>
  <fonts count="13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.6"/>
      <color indexed="12"/>
      <name val="Times New Roman"/>
      <family val="1"/>
    </font>
    <font>
      <u val="single"/>
      <sz val="9.6"/>
      <color indexed="36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color indexed="1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color indexed="10"/>
      <name val="Times New Roman Cyr"/>
      <family val="1"/>
    </font>
    <font>
      <sz val="9"/>
      <name val="Times New Roman CYR"/>
      <family val="1"/>
    </font>
    <font>
      <b/>
      <i/>
      <sz val="10"/>
      <color indexed="9"/>
      <name val="Times New Roman Cyr"/>
      <family val="1"/>
    </font>
    <font>
      <b/>
      <sz val="16"/>
      <color indexed="60"/>
      <name val="Times New Roman Cyr"/>
      <family val="1"/>
    </font>
    <font>
      <b/>
      <sz val="11"/>
      <color indexed="60"/>
      <name val="Times New Roman Cyr"/>
      <family val="1"/>
    </font>
    <font>
      <b/>
      <sz val="12"/>
      <color indexed="60"/>
      <name val="Times New Roman"/>
      <family val="1"/>
    </font>
    <font>
      <sz val="11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3.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4"/>
      <color indexed="60"/>
      <name val="Times New Roman"/>
      <family val="1"/>
    </font>
    <font>
      <sz val="9"/>
      <color indexed="13"/>
      <name val="Times New Roman"/>
      <family val="1"/>
    </font>
    <font>
      <sz val="8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13"/>
      <name val="Times New Roman"/>
      <family val="1"/>
    </font>
    <font>
      <b/>
      <sz val="9"/>
      <color indexed="13"/>
      <name val="Times New Roman"/>
      <family val="1"/>
    </font>
    <font>
      <sz val="18"/>
      <color indexed="13"/>
      <name val="Times New Roman"/>
      <family val="1"/>
    </font>
    <font>
      <sz val="20"/>
      <color indexed="13"/>
      <name val="Times New Roman"/>
      <family val="1"/>
    </font>
    <font>
      <sz val="12"/>
      <color indexed="27"/>
      <name val="Times New Roman"/>
      <family val="1"/>
    </font>
    <font>
      <u val="single"/>
      <sz val="9.6"/>
      <color indexed="27"/>
      <name val="Times New Roman"/>
      <family val="1"/>
    </font>
    <font>
      <sz val="10"/>
      <color indexed="10"/>
      <name val="Times New Roman"/>
      <family val="1"/>
    </font>
    <font>
      <b/>
      <sz val="20"/>
      <color indexed="13"/>
      <name val="Times New Roman"/>
      <family val="1"/>
    </font>
    <font>
      <sz val="14"/>
      <color indexed="13"/>
      <name val="Times New Roman"/>
      <family val="1"/>
    </font>
    <font>
      <sz val="18"/>
      <color indexed="27"/>
      <name val="Times New Roman"/>
      <family val="1"/>
    </font>
    <font>
      <sz val="10"/>
      <color indexed="45"/>
      <name val="Times New Roman"/>
      <family val="1"/>
    </font>
    <font>
      <sz val="9"/>
      <color indexed="45"/>
      <name val="Times New Roman"/>
      <family val="1"/>
    </font>
    <font>
      <sz val="8"/>
      <color indexed="45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9"/>
      <color rgb="FF0000FF"/>
      <name val="Times New Roman"/>
      <family val="1"/>
    </font>
    <font>
      <sz val="12"/>
      <color theme="5" tint="-0.24997000396251678"/>
      <name val="Times New Roman"/>
      <family val="1"/>
    </font>
    <font>
      <sz val="9"/>
      <color theme="5" tint="-0.24997000396251678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4"/>
      <color rgb="FFC00000"/>
      <name val="Times New Roman"/>
      <family val="1"/>
    </font>
    <font>
      <sz val="9"/>
      <color rgb="FFFFFF00"/>
      <name val="Times New Roman"/>
      <family val="1"/>
    </font>
    <font>
      <sz val="8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9"/>
      <color theme="5" tint="-0.24997000396251678"/>
      <name val="Times New Roman"/>
      <family val="1"/>
    </font>
    <font>
      <b/>
      <sz val="8"/>
      <color rgb="FFFFFF00"/>
      <name val="Times New Roman"/>
      <family val="1"/>
    </font>
    <font>
      <b/>
      <sz val="9"/>
      <color rgb="FFFFFF00"/>
      <name val="Times New Roman"/>
      <family val="1"/>
    </font>
    <font>
      <sz val="18"/>
      <color rgb="FFFFFF00"/>
      <name val="Times New Roman"/>
      <family val="1"/>
    </font>
    <font>
      <sz val="20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rgb="FFCCFFFF"/>
      <name val="Times New Roman"/>
      <family val="1"/>
    </font>
    <font>
      <u val="single"/>
      <sz val="9.6"/>
      <color rgb="FFCCFF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20"/>
      <color rgb="FFFFFF00"/>
      <name val="Times New Roman"/>
      <family val="1"/>
    </font>
    <font>
      <sz val="14"/>
      <color rgb="FFFFFF00"/>
      <name val="Times New Roman"/>
      <family val="1"/>
    </font>
    <font>
      <sz val="18"/>
      <color rgb="FFCCFFFF"/>
      <name val="Times New Roman"/>
      <family val="1"/>
    </font>
    <font>
      <sz val="10"/>
      <color rgb="FFFFCCFF"/>
      <name val="Times New Roman"/>
      <family val="1"/>
    </font>
    <font>
      <sz val="9"/>
      <color rgb="FFFFCCFF"/>
      <name val="Times New Roman"/>
      <family val="1"/>
    </font>
    <font>
      <sz val="8"/>
      <color rgb="FFFFCCFF"/>
      <name val="Times New Roman"/>
      <family val="1"/>
    </font>
    <font>
      <b/>
      <sz val="8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FFCCFF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2" fillId="0" borderId="25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0" fillId="0" borderId="0" xfId="0" applyFont="1" applyAlignment="1">
      <alignment horizontal="left" wrapText="1"/>
    </xf>
    <xf numFmtId="2" fontId="27" fillId="0" borderId="0" xfId="0" applyNumberFormat="1" applyFont="1" applyAlignment="1">
      <alignment horizontal="right" vertical="top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justify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30" fillId="0" borderId="0" xfId="0" applyFont="1" applyAlignment="1">
      <alignment/>
    </xf>
    <xf numFmtId="0" fontId="2" fillId="0" borderId="0" xfId="54" applyFont="1">
      <alignment/>
      <protection/>
    </xf>
    <xf numFmtId="173" fontId="2" fillId="0" borderId="13" xfId="54" applyNumberFormat="1" applyFont="1" applyBorder="1" applyAlignment="1">
      <alignment horizontal="center" vertical="center" wrapText="1"/>
      <protection/>
    </xf>
    <xf numFmtId="173" fontId="2" fillId="0" borderId="10" xfId="54" applyNumberFormat="1" applyFont="1" applyBorder="1" applyAlignment="1">
      <alignment horizontal="center" wrapText="1"/>
      <protection/>
    </xf>
    <xf numFmtId="0" fontId="31" fillId="0" borderId="16" xfId="54" applyFont="1" applyBorder="1" applyAlignment="1">
      <alignment horizontal="center"/>
      <protection/>
    </xf>
    <xf numFmtId="173" fontId="2" fillId="20" borderId="10" xfId="54" applyNumberFormat="1" applyFont="1" applyFill="1" applyBorder="1" applyAlignment="1">
      <alignment horizontal="center" vertical="center" wrapText="1"/>
      <protection/>
    </xf>
    <xf numFmtId="173" fontId="2" fillId="20" borderId="10" xfId="54" applyNumberFormat="1" applyFont="1" applyFill="1" applyBorder="1" applyAlignment="1">
      <alignment horizontal="center" wrapText="1"/>
      <protection/>
    </xf>
    <xf numFmtId="173" fontId="32" fillId="20" borderId="10" xfId="54" applyNumberFormat="1" applyFont="1" applyFill="1" applyBorder="1" applyAlignment="1">
      <alignment horizontal="center" wrapText="1"/>
      <protection/>
    </xf>
    <xf numFmtId="173" fontId="0" fillId="0" borderId="10" xfId="54" applyNumberFormat="1" applyFont="1" applyBorder="1" applyAlignment="1">
      <alignment wrapText="1"/>
      <protection/>
    </xf>
    <xf numFmtId="173" fontId="0" fillId="0" borderId="10" xfId="54" applyNumberFormat="1" applyFont="1" applyBorder="1" applyAlignment="1">
      <alignment horizontal="left" wrapText="1" indent="1"/>
      <protection/>
    </xf>
    <xf numFmtId="173" fontId="26" fillId="0" borderId="10" xfId="54" applyNumberFormat="1" applyFont="1" applyBorder="1" applyAlignment="1">
      <alignment horizontal="left" wrapText="1" indent="2"/>
      <protection/>
    </xf>
    <xf numFmtId="173" fontId="0" fillId="0" borderId="10" xfId="54" applyNumberFormat="1" applyFont="1" applyBorder="1">
      <alignment/>
      <protection/>
    </xf>
    <xf numFmtId="173" fontId="0" fillId="0" borderId="10" xfId="54" applyNumberFormat="1" applyFont="1" applyBorder="1" applyAlignment="1">
      <alignment vertical="center"/>
      <protection/>
    </xf>
    <xf numFmtId="173" fontId="33" fillId="0" borderId="0" xfId="54" applyNumberFormat="1" applyFont="1" applyAlignment="1">
      <alignment wrapText="1"/>
      <protection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3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distributed" wrapText="1"/>
    </xf>
    <xf numFmtId="2" fontId="0" fillId="0" borderId="10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180" fontId="0" fillId="0" borderId="0" xfId="0" applyNumberFormat="1" applyFill="1" applyAlignment="1">
      <alignment/>
    </xf>
    <xf numFmtId="180" fontId="40" fillId="0" borderId="0" xfId="61" applyNumberFormat="1" applyFont="1" applyFill="1" applyAlignment="1">
      <alignment horizontal="right"/>
      <protection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vertical="justify"/>
    </xf>
    <xf numFmtId="180" fontId="0" fillId="0" borderId="10" xfId="0" applyNumberFormat="1" applyFill="1" applyBorder="1" applyAlignment="1">
      <alignment horizontal="center"/>
    </xf>
    <xf numFmtId="0" fontId="43" fillId="0" borderId="10" xfId="58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/>
    </xf>
    <xf numFmtId="180" fontId="44" fillId="0" borderId="10" xfId="0" applyNumberFormat="1" applyFont="1" applyFill="1" applyBorder="1" applyAlignment="1">
      <alignment wrapText="1"/>
    </xf>
    <xf numFmtId="180" fontId="0" fillId="0" borderId="10" xfId="0" applyNumberFormat="1" applyFill="1" applyBorder="1" applyAlignment="1">
      <alignment wrapText="1"/>
    </xf>
    <xf numFmtId="180" fontId="4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80" fontId="40" fillId="0" borderId="10" xfId="0" applyNumberFormat="1" applyFont="1" applyFill="1" applyBorder="1" applyAlignment="1">
      <alignment wrapText="1"/>
    </xf>
    <xf numFmtId="180" fontId="40" fillId="0" borderId="10" xfId="60" applyNumberFormat="1" applyFill="1" applyBorder="1">
      <alignment/>
      <protection/>
    </xf>
    <xf numFmtId="180" fontId="45" fillId="0" borderId="10" xfId="0" applyNumberFormat="1" applyFont="1" applyFill="1" applyBorder="1" applyAlignment="1">
      <alignment/>
    </xf>
    <xf numFmtId="0" fontId="23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23" fillId="0" borderId="0" xfId="61" applyFont="1">
      <alignment/>
      <protection/>
    </xf>
    <xf numFmtId="1" fontId="48" fillId="0" borderId="0" xfId="0" applyNumberFormat="1" applyFont="1" applyFill="1" applyAlignment="1">
      <alignment horizontal="center"/>
    </xf>
    <xf numFmtId="1" fontId="48" fillId="24" borderId="0" xfId="0" applyNumberFormat="1" applyFont="1" applyFill="1" applyAlignment="1">
      <alignment horizontal="center"/>
    </xf>
    <xf numFmtId="180" fontId="40" fillId="0" borderId="0" xfId="61" applyNumberFormat="1" applyFont="1" applyFill="1">
      <alignment/>
      <protection/>
    </xf>
    <xf numFmtId="180" fontId="47" fillId="0" borderId="0" xfId="0" applyNumberFormat="1" applyFont="1" applyFill="1" applyAlignment="1">
      <alignment wrapText="1"/>
    </xf>
    <xf numFmtId="180" fontId="40" fillId="0" borderId="0" xfId="59" applyNumberFormat="1" applyFont="1" applyFill="1" applyBorder="1" applyAlignment="1" applyProtection="1">
      <alignment vertical="top"/>
      <protection/>
    </xf>
    <xf numFmtId="180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0" fontId="0" fillId="0" borderId="10" xfId="0" applyNumberFormat="1" applyFill="1" applyBorder="1" applyAlignment="1">
      <alignment horizontal="center" vertical="center"/>
    </xf>
    <xf numFmtId="180" fontId="49" fillId="0" borderId="0" xfId="0" applyNumberFormat="1" applyFont="1" applyFill="1" applyAlignment="1">
      <alignment horizontal="right" wrapText="1"/>
    </xf>
    <xf numFmtId="180" fontId="50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/>
    </xf>
    <xf numFmtId="3" fontId="44" fillId="0" borderId="10" xfId="0" applyNumberFormat="1" applyFont="1" applyFill="1" applyBorder="1" applyAlignment="1">
      <alignment horizontal="center"/>
    </xf>
    <xf numFmtId="3" fontId="44" fillId="25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/>
    </xf>
    <xf numFmtId="3" fontId="44" fillId="25" borderId="1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3" fontId="29" fillId="25" borderId="10" xfId="0" applyNumberFormat="1" applyFont="1" applyFill="1" applyBorder="1" applyAlignment="1">
      <alignment horizontal="center"/>
    </xf>
    <xf numFmtId="3" fontId="43" fillId="0" borderId="10" xfId="60" applyNumberFormat="1" applyFont="1" applyFill="1" applyBorder="1" applyAlignment="1">
      <alignment horizontal="center"/>
      <protection/>
    </xf>
    <xf numFmtId="17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5" fillId="0" borderId="16" xfId="0" applyFont="1" applyBorder="1" applyAlignment="1">
      <alignment/>
    </xf>
    <xf numFmtId="0" fontId="20" fillId="0" borderId="0" xfId="54" applyFont="1" applyAlignment="1">
      <alignment horizontal="right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88" fontId="2" fillId="0" borderId="21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21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/>
    </xf>
    <xf numFmtId="188" fontId="0" fillId="0" borderId="14" xfId="0" applyNumberFormat="1" applyFont="1" applyFill="1" applyBorder="1" applyAlignment="1">
      <alignment horizontal="right"/>
    </xf>
    <xf numFmtId="188" fontId="0" fillId="0" borderId="21" xfId="0" applyNumberFormat="1" applyFont="1" applyFill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0" xfId="54" applyNumberFormat="1" applyFont="1" applyBorder="1" applyAlignment="1">
      <alignment horizontal="center" wrapText="1"/>
      <protection/>
    </xf>
    <xf numFmtId="176" fontId="2" fillId="0" borderId="3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4" fillId="0" borderId="3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3" fillId="0" borderId="42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3" fillId="0" borderId="44" xfId="0" applyNumberFormat="1" applyFont="1" applyBorder="1" applyAlignment="1">
      <alignment horizontal="center" vertical="center" wrapText="1"/>
    </xf>
    <xf numFmtId="176" fontId="22" fillId="0" borderId="42" xfId="0" applyNumberFormat="1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24" fillId="0" borderId="1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2" fillId="0" borderId="22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47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49" xfId="0" applyNumberFormat="1" applyFont="1" applyBorder="1" applyAlignment="1">
      <alignment horizontal="right" vertical="center"/>
    </xf>
    <xf numFmtId="179" fontId="0" fillId="0" borderId="5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20" borderId="10" xfId="54" applyNumberFormat="1" applyFont="1" applyFill="1" applyBorder="1" applyAlignment="1">
      <alignment horizontal="center" wrapText="1"/>
      <protection/>
    </xf>
    <xf numFmtId="49" fontId="32" fillId="20" borderId="10" xfId="54" applyNumberFormat="1" applyFont="1" applyFill="1" applyBorder="1" applyAlignment="1">
      <alignment horizontal="center" wrapText="1"/>
      <protection/>
    </xf>
    <xf numFmtId="0" fontId="20" fillId="0" borderId="0" xfId="54" applyFont="1" applyAlignment="1">
      <alignment horizontal="right" vertical="center"/>
      <protection/>
    </xf>
    <xf numFmtId="173" fontId="20" fillId="0" borderId="0" xfId="54" applyNumberFormat="1" applyFont="1" applyAlignment="1">
      <alignment horizontal="left" wrapText="1"/>
      <protection/>
    </xf>
    <xf numFmtId="176" fontId="97" fillId="0" borderId="10" xfId="54" applyNumberFormat="1" applyFont="1" applyBorder="1" applyAlignment="1">
      <alignment horizontal="center" wrapText="1"/>
      <protection/>
    </xf>
    <xf numFmtId="173" fontId="97" fillId="0" borderId="10" xfId="54" applyNumberFormat="1" applyFont="1" applyBorder="1" applyAlignment="1">
      <alignment horizontal="center" wrapText="1"/>
      <protection/>
    </xf>
    <xf numFmtId="176" fontId="98" fillId="0" borderId="10" xfId="54" applyNumberFormat="1" applyFont="1" applyBorder="1" applyAlignment="1">
      <alignment horizontal="center" wrapText="1"/>
      <protection/>
    </xf>
    <xf numFmtId="176" fontId="0" fillId="26" borderId="10" xfId="54" applyNumberFormat="1" applyFont="1" applyFill="1" applyBorder="1" applyAlignment="1">
      <alignment horizontal="center" wrapText="1"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26" borderId="10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98" fillId="26" borderId="10" xfId="0" applyNumberFormat="1" applyFont="1" applyFill="1" applyBorder="1" applyAlignment="1">
      <alignment horizontal="right" vertical="center" wrapText="1"/>
    </xf>
    <xf numFmtId="0" fontId="0" fillId="26" borderId="10" xfId="0" applyFont="1" applyFill="1" applyBorder="1" applyAlignment="1">
      <alignment vertical="center" wrapText="1"/>
    </xf>
    <xf numFmtId="173" fontId="98" fillId="0" borderId="10" xfId="54" applyNumberFormat="1" applyFont="1" applyBorder="1">
      <alignment/>
      <protection/>
    </xf>
    <xf numFmtId="176" fontId="98" fillId="26" borderId="21" xfId="0" applyNumberFormat="1" applyFont="1" applyFill="1" applyBorder="1" applyAlignment="1">
      <alignment horizontal="right" vertical="center" wrapText="1"/>
    </xf>
    <xf numFmtId="176" fontId="98" fillId="0" borderId="21" xfId="0" applyNumberFormat="1" applyFont="1" applyBorder="1" applyAlignment="1">
      <alignment horizontal="right"/>
    </xf>
    <xf numFmtId="179" fontId="0" fillId="0" borderId="0" xfId="54" applyNumberFormat="1" applyFont="1">
      <alignment/>
      <protection/>
    </xf>
    <xf numFmtId="0" fontId="20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57" fillId="0" borderId="0" xfId="0" applyNumberFormat="1" applyFont="1" applyBorder="1" applyAlignment="1">
      <alignment horizontal="center" vertical="center" wrapText="1"/>
    </xf>
    <xf numFmtId="3" fontId="57" fillId="0" borderId="0" xfId="0" applyNumberFormat="1" applyFont="1" applyAlignment="1">
      <alignment horizontal="center"/>
    </xf>
    <xf numFmtId="0" fontId="28" fillId="0" borderId="0" xfId="54" applyFont="1" applyFill="1">
      <alignment/>
      <protection/>
    </xf>
    <xf numFmtId="0" fontId="20" fillId="0" borderId="0" xfId="54" applyFont="1" applyFill="1" applyAlignment="1">
      <alignment horizontal="right"/>
      <protection/>
    </xf>
    <xf numFmtId="0" fontId="0" fillId="0" borderId="0" xfId="54" applyFill="1">
      <alignment/>
      <protection/>
    </xf>
    <xf numFmtId="0" fontId="0" fillId="0" borderId="0" xfId="54" applyFont="1" applyFill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28" fillId="0" borderId="0" xfId="54" applyFont="1" applyFill="1" applyAlignment="1">
      <alignment horizontal="right"/>
      <protection/>
    </xf>
    <xf numFmtId="0" fontId="29" fillId="0" borderId="51" xfId="54" applyFont="1" applyFill="1" applyBorder="1" applyAlignment="1">
      <alignment horizontal="left" vertical="center" wrapText="1"/>
      <protection/>
    </xf>
    <xf numFmtId="0" fontId="28" fillId="0" borderId="0" xfId="54" applyFont="1" applyFill="1" applyAlignment="1">
      <alignment horizontal="left" wrapText="1"/>
      <protection/>
    </xf>
    <xf numFmtId="49" fontId="28" fillId="0" borderId="0" xfId="54" applyNumberFormat="1" applyFont="1" applyFill="1" applyBorder="1" applyAlignment="1">
      <alignment horizontal="left" vertical="top"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2" fillId="0" borderId="0" xfId="54" applyFont="1" applyFill="1" applyAlignment="1">
      <alignment horizontal="center" wrapText="1"/>
      <protection/>
    </xf>
    <xf numFmtId="0" fontId="2" fillId="0" borderId="17" xfId="54" applyNumberFormat="1" applyFont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60" fillId="0" borderId="10" xfId="54" applyFont="1" applyBorder="1" applyAlignment="1">
      <alignment vertical="top" wrapText="1"/>
      <protection/>
    </xf>
    <xf numFmtId="0" fontId="0" fillId="0" borderId="21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54" applyNumberFormat="1" applyFont="1" applyFill="1" applyBorder="1" applyAlignment="1">
      <alignment horizontal="center" vertical="center" wrapText="1"/>
      <protection/>
    </xf>
    <xf numFmtId="0" fontId="60" fillId="0" borderId="10" xfId="54" applyFont="1" applyFill="1" applyBorder="1" applyAlignment="1">
      <alignment vertical="top" wrapText="1"/>
      <protection/>
    </xf>
    <xf numFmtId="17" fontId="0" fillId="0" borderId="0" xfId="54" applyNumberFormat="1" applyFont="1" applyFill="1" applyBorder="1" applyAlignment="1">
      <alignment horizontal="center" vertical="center" wrapText="1"/>
      <protection/>
    </xf>
    <xf numFmtId="17" fontId="0" fillId="0" borderId="0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Border="1">
      <alignment/>
      <protection/>
    </xf>
    <xf numFmtId="49" fontId="0" fillId="24" borderId="20" xfId="54" applyNumberFormat="1" applyFont="1" applyFill="1" applyBorder="1" applyAlignment="1">
      <alignment horizontal="center" vertical="top" wrapText="1"/>
      <protection/>
    </xf>
    <xf numFmtId="0" fontId="60" fillId="24" borderId="10" xfId="54" applyFont="1" applyFill="1" applyBorder="1" applyAlignment="1">
      <alignment vertical="top" wrapText="1"/>
      <protection/>
    </xf>
    <xf numFmtId="17" fontId="35" fillId="24" borderId="21" xfId="54" applyNumberFormat="1" applyFont="1" applyFill="1" applyBorder="1" applyAlignment="1">
      <alignment horizontal="center" vertical="center" wrapText="1"/>
      <protection/>
    </xf>
    <xf numFmtId="17" fontId="0" fillId="0" borderId="0" xfId="54" applyNumberFormat="1" applyFont="1" applyBorder="1">
      <alignment/>
      <protection/>
    </xf>
    <xf numFmtId="49" fontId="0" fillId="24" borderId="32" xfId="54" applyNumberFormat="1" applyFont="1" applyFill="1" applyBorder="1" applyAlignment="1">
      <alignment horizontal="center" vertical="top" wrapText="1"/>
      <protection/>
    </xf>
    <xf numFmtId="0" fontId="60" fillId="24" borderId="18" xfId="54" applyFont="1" applyFill="1" applyBorder="1" applyAlignment="1">
      <alignment vertical="top" wrapText="1"/>
      <protection/>
    </xf>
    <xf numFmtId="0" fontId="0" fillId="0" borderId="54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>
      <alignment horizontal="center" vertical="center" wrapText="1"/>
      <protection/>
    </xf>
    <xf numFmtId="0" fontId="0" fillId="0" borderId="55" xfId="54" applyNumberFormat="1" applyFont="1" applyFill="1" applyBorder="1" applyAlignment="1">
      <alignment horizontal="center" vertical="center" wrapText="1"/>
      <protection/>
    </xf>
    <xf numFmtId="0" fontId="0" fillId="0" borderId="56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24" borderId="21" xfId="54" applyNumberFormat="1" applyFont="1" applyFill="1" applyBorder="1" applyAlignment="1">
      <alignment horizontal="center" vertical="center" wrapText="1"/>
      <protection/>
    </xf>
    <xf numFmtId="0" fontId="0" fillId="24" borderId="31" xfId="54" applyNumberFormat="1" applyFont="1" applyFill="1" applyBorder="1" applyAlignment="1">
      <alignment horizontal="center" vertical="center" wrapText="1"/>
      <protection/>
    </xf>
    <xf numFmtId="0" fontId="0" fillId="24" borderId="52" xfId="54" applyNumberFormat="1" applyFont="1" applyFill="1" applyBorder="1" applyAlignment="1">
      <alignment horizontal="center" vertical="center" wrapText="1"/>
      <protection/>
    </xf>
    <xf numFmtId="0" fontId="0" fillId="24" borderId="53" xfId="54" applyNumberFormat="1" applyFont="1" applyFill="1" applyBorder="1" applyAlignment="1">
      <alignment horizontal="center" vertical="center" wrapText="1"/>
      <protection/>
    </xf>
    <xf numFmtId="0" fontId="0" fillId="24" borderId="0" xfId="54" applyFont="1" applyFill="1">
      <alignment/>
      <protection/>
    </xf>
    <xf numFmtId="17" fontId="0" fillId="24" borderId="0" xfId="54" applyNumberFormat="1" applyFont="1" applyFill="1" applyBorder="1" applyAlignment="1">
      <alignment horizontal="center" vertical="center" wrapText="1"/>
      <protection/>
    </xf>
    <xf numFmtId="17" fontId="0" fillId="24" borderId="0" xfId="54" applyNumberFormat="1" applyFont="1" applyFill="1" applyBorder="1" applyAlignment="1">
      <alignment horizontal="center" vertical="top" wrapText="1"/>
      <protection/>
    </xf>
    <xf numFmtId="0" fontId="0" fillId="24" borderId="0" xfId="54" applyFont="1" applyFill="1" applyBorder="1">
      <alignment/>
      <protection/>
    </xf>
    <xf numFmtId="17" fontId="0" fillId="24" borderId="0" xfId="54" applyNumberFormat="1" applyFont="1" applyFill="1" applyBorder="1">
      <alignment/>
      <protection/>
    </xf>
    <xf numFmtId="17" fontId="0" fillId="24" borderId="21" xfId="54" applyNumberFormat="1" applyFont="1" applyFill="1" applyBorder="1" applyAlignment="1">
      <alignment horizontal="center" vertical="center" wrapText="1"/>
      <protection/>
    </xf>
    <xf numFmtId="17" fontId="35" fillId="24" borderId="14" xfId="54" applyNumberFormat="1" applyFont="1" applyFill="1" applyBorder="1" applyAlignment="1">
      <alignment horizontal="center" vertical="center" wrapText="1"/>
      <protection/>
    </xf>
    <xf numFmtId="17" fontId="0" fillId="24" borderId="54" xfId="54" applyNumberFormat="1" applyFont="1" applyFill="1" applyBorder="1" applyAlignment="1">
      <alignment horizontal="center" vertical="center" wrapText="1"/>
      <protection/>
    </xf>
    <xf numFmtId="0" fontId="0" fillId="24" borderId="54" xfId="54" applyNumberFormat="1" applyFont="1" applyFill="1" applyBorder="1" applyAlignment="1">
      <alignment horizontal="center" vertical="center" wrapText="1"/>
      <protection/>
    </xf>
    <xf numFmtId="0" fontId="0" fillId="24" borderId="35" xfId="54" applyNumberFormat="1" applyFont="1" applyFill="1" applyBorder="1" applyAlignment="1">
      <alignment horizontal="center" vertical="center" wrapText="1"/>
      <protection/>
    </xf>
    <xf numFmtId="0" fontId="0" fillId="24" borderId="55" xfId="54" applyNumberFormat="1" applyFont="1" applyFill="1" applyBorder="1" applyAlignment="1">
      <alignment horizontal="center" vertical="center" wrapText="1"/>
      <protection/>
    </xf>
    <xf numFmtId="0" fontId="0" fillId="24" borderId="56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horizontal="center" vertical="center" wrapText="1"/>
      <protection/>
    </xf>
    <xf numFmtId="0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57" xfId="54" applyNumberFormat="1" applyFont="1" applyFill="1" applyBorder="1" applyAlignment="1">
      <alignment horizontal="center" vertical="center" wrapText="1"/>
      <protection/>
    </xf>
    <xf numFmtId="0" fontId="62" fillId="0" borderId="0" xfId="54" applyFont="1" applyAlignment="1">
      <alignment horizontal="right"/>
      <protection/>
    </xf>
    <xf numFmtId="0" fontId="62" fillId="0" borderId="0" xfId="54" applyFont="1" applyAlignment="1">
      <alignment horizontal="right" vertical="center"/>
      <protection/>
    </xf>
    <xf numFmtId="0" fontId="35" fillId="0" borderId="0" xfId="54" applyFont="1" applyAlignment="1">
      <alignment horizontal="right"/>
      <protection/>
    </xf>
    <xf numFmtId="0" fontId="63" fillId="0" borderId="0" xfId="54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35" fillId="0" borderId="0" xfId="54" applyFont="1">
      <alignment/>
      <protection/>
    </xf>
    <xf numFmtId="0" fontId="2" fillId="0" borderId="33" xfId="54" applyFont="1" applyBorder="1" applyAlignment="1">
      <alignment horizontal="center" vertical="center" wrapText="1"/>
      <protection/>
    </xf>
    <xf numFmtId="0" fontId="2" fillId="0" borderId="49" xfId="54" applyFont="1" applyBorder="1" applyAlignment="1">
      <alignment horizontal="center" vertical="center" wrapText="1"/>
      <protection/>
    </xf>
    <xf numFmtId="0" fontId="32" fillId="0" borderId="48" xfId="54" applyFont="1" applyBorder="1" applyAlignment="1">
      <alignment horizontal="center" vertical="center" wrapText="1"/>
      <protection/>
    </xf>
    <xf numFmtId="0" fontId="2" fillId="0" borderId="20" xfId="54" applyNumberFormat="1" applyFont="1" applyBorder="1" applyAlignment="1">
      <alignment horizontal="center" vertical="top" wrapText="1"/>
      <protection/>
    </xf>
    <xf numFmtId="0" fontId="2" fillId="0" borderId="12" xfId="54" applyNumberFormat="1" applyFont="1" applyBorder="1" applyAlignment="1">
      <alignment horizontal="center" vertical="top" wrapText="1"/>
      <protection/>
    </xf>
    <xf numFmtId="0" fontId="0" fillId="0" borderId="10" xfId="54" applyFont="1" applyBorder="1" applyAlignment="1">
      <alignment horizontal="justify" vertical="top" wrapText="1"/>
      <protection/>
    </xf>
    <xf numFmtId="0" fontId="35" fillId="0" borderId="11" xfId="54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justify" vertical="top" wrapText="1"/>
      <protection/>
    </xf>
    <xf numFmtId="0" fontId="0" fillId="0" borderId="14" xfId="54" applyFont="1" applyBorder="1" applyAlignment="1">
      <alignment horizontal="justify" vertical="top" wrapText="1"/>
      <protection/>
    </xf>
    <xf numFmtId="0" fontId="35" fillId="0" borderId="15" xfId="54" applyFont="1" applyBorder="1" applyAlignment="1">
      <alignment horizontal="center" vertical="center" wrapText="1"/>
      <protection/>
    </xf>
    <xf numFmtId="1" fontId="2" fillId="0" borderId="0" xfId="54" applyNumberFormat="1" applyFont="1" applyAlignment="1">
      <alignment horizontal="left" vertical="top"/>
      <protection/>
    </xf>
    <xf numFmtId="0" fontId="36" fillId="0" borderId="0" xfId="54" applyFont="1">
      <alignment/>
      <protection/>
    </xf>
    <xf numFmtId="0" fontId="36" fillId="0" borderId="0" xfId="54" applyFont="1" applyAlignment="1">
      <alignment vertical="center"/>
      <protection/>
    </xf>
    <xf numFmtId="0" fontId="36" fillId="0" borderId="10" xfId="54" applyFont="1" applyBorder="1" applyAlignment="1">
      <alignment vertical="center" wrapText="1"/>
      <protection/>
    </xf>
    <xf numFmtId="0" fontId="36" fillId="0" borderId="10" xfId="54" applyFont="1" applyBorder="1" applyAlignment="1">
      <alignment horizontal="center" vertical="center"/>
      <protection/>
    </xf>
    <xf numFmtId="49" fontId="61" fillId="0" borderId="58" xfId="54" applyNumberFormat="1" applyFont="1" applyBorder="1" applyAlignment="1">
      <alignment horizontal="center" vertical="center" wrapText="1"/>
      <protection/>
    </xf>
    <xf numFmtId="17" fontId="20" fillId="0" borderId="16" xfId="54" applyNumberFormat="1" applyFont="1" applyBorder="1" applyAlignment="1">
      <alignment horizontal="center" vertical="center" wrapText="1"/>
      <protection/>
    </xf>
    <xf numFmtId="0" fontId="60" fillId="0" borderId="16" xfId="54" applyFont="1" applyBorder="1" applyAlignment="1">
      <alignment vertical="top" wrapText="1"/>
      <protection/>
    </xf>
    <xf numFmtId="176" fontId="2" fillId="26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99" fillId="0" borderId="0" xfId="0" applyFont="1" applyAlignment="1">
      <alignment/>
    </xf>
    <xf numFmtId="0" fontId="100" fillId="0" borderId="0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4" fontId="0" fillId="26" borderId="10" xfId="0" applyNumberFormat="1" applyFont="1" applyFill="1" applyBorder="1" applyAlignment="1">
      <alignment horizontal="right" vertical="center" wrapText="1"/>
    </xf>
    <xf numFmtId="176" fontId="0" fillId="26" borderId="14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horizontal="center"/>
    </xf>
    <xf numFmtId="176" fontId="57" fillId="0" borderId="0" xfId="0" applyNumberFormat="1" applyFont="1" applyBorder="1" applyAlignment="1">
      <alignment horizontal="center" vertical="center" wrapText="1"/>
    </xf>
    <xf numFmtId="203" fontId="0" fillId="0" borderId="0" xfId="0" applyNumberFormat="1" applyFont="1" applyAlignment="1">
      <alignment/>
    </xf>
    <xf numFmtId="200" fontId="101" fillId="0" borderId="0" xfId="0" applyNumberFormat="1" applyFont="1" applyAlignment="1">
      <alignment/>
    </xf>
    <xf numFmtId="3" fontId="102" fillId="0" borderId="0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 horizontal="center"/>
    </xf>
    <xf numFmtId="176" fontId="103" fillId="26" borderId="10" xfId="0" applyNumberFormat="1" applyFont="1" applyFill="1" applyBorder="1" applyAlignment="1">
      <alignment horizontal="right" vertical="center" wrapText="1"/>
    </xf>
    <xf numFmtId="176" fontId="97" fillId="26" borderId="10" xfId="0" applyNumberFormat="1" applyFont="1" applyFill="1" applyBorder="1" applyAlignment="1">
      <alignment horizontal="right" vertical="center" wrapText="1"/>
    </xf>
    <xf numFmtId="176" fontId="98" fillId="26" borderId="14" xfId="0" applyNumberFormat="1" applyFont="1" applyFill="1" applyBorder="1" applyAlignment="1">
      <alignment horizontal="right" vertical="center" wrapText="1"/>
    </xf>
    <xf numFmtId="176" fontId="0" fillId="26" borderId="21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104" fillId="0" borderId="0" xfId="54" applyFont="1">
      <alignment/>
      <protection/>
    </xf>
    <xf numFmtId="0" fontId="97" fillId="0" borderId="11" xfId="0" applyFont="1" applyFill="1" applyBorder="1" applyAlignment="1">
      <alignment horizontal="center" vertical="center" wrapText="1"/>
    </xf>
    <xf numFmtId="179" fontId="0" fillId="0" borderId="0" xfId="54" applyNumberFormat="1" applyFill="1">
      <alignment/>
      <protection/>
    </xf>
    <xf numFmtId="0" fontId="98" fillId="0" borderId="10" xfId="0" applyFont="1" applyFill="1" applyBorder="1" applyAlignment="1">
      <alignment horizontal="left" vertical="center" wrapText="1"/>
    </xf>
    <xf numFmtId="176" fontId="98" fillId="0" borderId="10" xfId="0" applyNumberFormat="1" applyFont="1" applyFill="1" applyBorder="1" applyAlignment="1">
      <alignment vertical="center" wrapText="1"/>
    </xf>
    <xf numFmtId="176" fontId="98" fillId="0" borderId="10" xfId="0" applyNumberFormat="1" applyFont="1" applyFill="1" applyBorder="1" applyAlignment="1">
      <alignment vertical="center"/>
    </xf>
    <xf numFmtId="176" fontId="98" fillId="0" borderId="10" xfId="0" applyNumberFormat="1" applyFont="1" applyBorder="1" applyAlignment="1">
      <alignment vertical="center"/>
    </xf>
    <xf numFmtId="176" fontId="98" fillId="0" borderId="11" xfId="0" applyNumberFormat="1" applyFont="1" applyBorder="1" applyAlignment="1">
      <alignment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176" fontId="103" fillId="0" borderId="10" xfId="0" applyNumberFormat="1" applyFont="1" applyFill="1" applyBorder="1" applyAlignment="1">
      <alignment vertical="center" wrapText="1"/>
    </xf>
    <xf numFmtId="16" fontId="103" fillId="0" borderId="12" xfId="0" applyNumberFormat="1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vertical="center" wrapText="1"/>
    </xf>
    <xf numFmtId="176" fontId="105" fillId="0" borderId="10" xfId="0" applyNumberFormat="1" applyFont="1" applyFill="1" applyBorder="1" applyAlignment="1">
      <alignment vertical="center" wrapText="1"/>
    </xf>
    <xf numFmtId="179" fontId="0" fillId="0" borderId="0" xfId="0" applyNumberFormat="1" applyFont="1" applyAlignment="1">
      <alignment horizontal="center"/>
    </xf>
    <xf numFmtId="0" fontId="2" fillId="26" borderId="14" xfId="0" applyFont="1" applyFill="1" applyBorder="1" applyAlignment="1">
      <alignment horizontal="center" vertical="center" wrapText="1"/>
    </xf>
    <xf numFmtId="176" fontId="0" fillId="26" borderId="10" xfId="0" applyNumberFormat="1" applyFont="1" applyFill="1" applyBorder="1" applyAlignment="1">
      <alignment horizontal="right"/>
    </xf>
    <xf numFmtId="176" fontId="0" fillId="26" borderId="14" xfId="0" applyNumberFormat="1" applyFont="1" applyFill="1" applyBorder="1" applyAlignment="1">
      <alignment horizontal="right"/>
    </xf>
    <xf numFmtId="176" fontId="98" fillId="26" borderId="21" xfId="0" applyNumberFormat="1" applyFont="1" applyFill="1" applyBorder="1" applyAlignment="1">
      <alignment horizontal="right"/>
    </xf>
    <xf numFmtId="4" fontId="0" fillId="26" borderId="16" xfId="0" applyNumberFormat="1" applyFont="1" applyFill="1" applyBorder="1" applyAlignment="1">
      <alignment horizontal="right" vertical="center" wrapText="1"/>
    </xf>
    <xf numFmtId="0" fontId="28" fillId="0" borderId="10" xfId="54" applyFont="1" applyBorder="1" applyAlignment="1">
      <alignment horizontal="center" vertical="center"/>
      <protection/>
    </xf>
    <xf numFmtId="4" fontId="2" fillId="26" borderId="10" xfId="0" applyNumberFormat="1" applyFont="1" applyFill="1" applyBorder="1" applyAlignment="1">
      <alignment horizontal="right" vertical="center" wrapText="1"/>
    </xf>
    <xf numFmtId="176" fontId="0" fillId="26" borderId="10" xfId="0" applyNumberFormat="1" applyFont="1" applyFill="1" applyBorder="1" applyAlignment="1">
      <alignment vertical="center" wrapText="1"/>
    </xf>
    <xf numFmtId="176" fontId="0" fillId="26" borderId="10" xfId="0" applyNumberFormat="1" applyFont="1" applyFill="1" applyBorder="1" applyAlignment="1">
      <alignment vertic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176" fontId="2" fillId="26" borderId="0" xfId="0" applyNumberFormat="1" applyFont="1" applyFill="1" applyBorder="1" applyAlignment="1">
      <alignment horizontal="center" vertical="center" wrapText="1"/>
    </xf>
    <xf numFmtId="0" fontId="103" fillId="26" borderId="0" xfId="0" applyFont="1" applyFill="1" applyBorder="1" applyAlignment="1">
      <alignment horizontal="center" vertical="center" wrapText="1"/>
    </xf>
    <xf numFmtId="0" fontId="98" fillId="2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6" fontId="106" fillId="26" borderId="10" xfId="0" applyNumberFormat="1" applyFont="1" applyFill="1" applyBorder="1" applyAlignment="1">
      <alignment horizontal="right" vertical="center" wrapText="1"/>
    </xf>
    <xf numFmtId="176" fontId="10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79" fontId="108" fillId="0" borderId="0" xfId="0" applyNumberFormat="1" applyFont="1" applyAlignment="1">
      <alignment/>
    </xf>
    <xf numFmtId="179" fontId="107" fillId="0" borderId="0" xfId="0" applyNumberFormat="1" applyFont="1" applyAlignment="1">
      <alignment/>
    </xf>
    <xf numFmtId="0" fontId="107" fillId="0" borderId="0" xfId="0" applyFont="1" applyAlignment="1">
      <alignment/>
    </xf>
    <xf numFmtId="181" fontId="107" fillId="0" borderId="0" xfId="0" applyNumberFormat="1" applyFont="1" applyAlignment="1">
      <alignment/>
    </xf>
    <xf numFmtId="0" fontId="106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49" fontId="0" fillId="24" borderId="30" xfId="54" applyNumberFormat="1" applyFont="1" applyFill="1" applyBorder="1" applyAlignment="1">
      <alignment horizontal="center" vertical="top" wrapText="1"/>
      <protection/>
    </xf>
    <xf numFmtId="0" fontId="60" fillId="24" borderId="50" xfId="54" applyFont="1" applyFill="1" applyBorder="1" applyAlignment="1">
      <alignment vertical="top" wrapText="1"/>
      <protection/>
    </xf>
    <xf numFmtId="17" fontId="35" fillId="24" borderId="50" xfId="54" applyNumberFormat="1" applyFont="1" applyFill="1" applyBorder="1" applyAlignment="1">
      <alignment horizontal="center" vertical="center" wrapText="1"/>
      <protection/>
    </xf>
    <xf numFmtId="0" fontId="0" fillId="24" borderId="50" xfId="54" applyNumberFormat="1" applyFont="1" applyFill="1" applyBorder="1" applyAlignment="1">
      <alignment horizontal="center" vertical="center" wrapText="1"/>
      <protection/>
    </xf>
    <xf numFmtId="0" fontId="0" fillId="24" borderId="25" xfId="54" applyNumberFormat="1" applyFont="1" applyFill="1" applyBorder="1" applyAlignment="1">
      <alignment horizontal="center" vertical="center" wrapText="1"/>
      <protection/>
    </xf>
    <xf numFmtId="0" fontId="0" fillId="24" borderId="59" xfId="54" applyNumberFormat="1" applyFont="1" applyFill="1" applyBorder="1" applyAlignment="1">
      <alignment horizontal="center" vertical="center" wrapText="1"/>
      <protection/>
    </xf>
    <xf numFmtId="0" fontId="0" fillId="24" borderId="60" xfId="54" applyNumberFormat="1" applyFont="1" applyFill="1" applyBorder="1" applyAlignment="1">
      <alignment horizontal="center" vertical="center" wrapText="1"/>
      <protection/>
    </xf>
    <xf numFmtId="0" fontId="60" fillId="0" borderId="18" xfId="54" applyFont="1" applyBorder="1" applyAlignment="1">
      <alignment vertical="top" wrapText="1"/>
      <protection/>
    </xf>
    <xf numFmtId="17" fontId="20" fillId="0" borderId="18" xfId="54" applyNumberFormat="1" applyFont="1" applyBorder="1" applyAlignment="1">
      <alignment horizontal="center" vertical="center" wrapText="1"/>
      <protection/>
    </xf>
    <xf numFmtId="0" fontId="62" fillId="0" borderId="0" xfId="54" applyFont="1">
      <alignment/>
      <protection/>
    </xf>
    <xf numFmtId="49" fontId="0" fillId="26" borderId="12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left" vertical="center" wrapText="1"/>
    </xf>
    <xf numFmtId="0" fontId="3" fillId="0" borderId="0" xfId="54" applyFont="1">
      <alignment/>
      <protection/>
    </xf>
    <xf numFmtId="0" fontId="97" fillId="26" borderId="22" xfId="0" applyFont="1" applyFill="1" applyBorder="1" applyAlignment="1">
      <alignment horizontal="left" vertical="center" wrapText="1"/>
    </xf>
    <xf numFmtId="179" fontId="0" fillId="26" borderId="11" xfId="54" applyNumberFormat="1" applyFont="1" applyFill="1" applyBorder="1" applyAlignment="1">
      <alignment horizontal="left" vertical="top" wrapText="1"/>
      <protection/>
    </xf>
    <xf numFmtId="0" fontId="0" fillId="26" borderId="22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35" fillId="26" borderId="11" xfId="54" applyFont="1" applyFill="1" applyBorder="1" applyAlignment="1">
      <alignment horizontal="center" vertical="center" wrapText="1"/>
      <protection/>
    </xf>
    <xf numFmtId="179" fontId="2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9" fontId="53" fillId="0" borderId="0" xfId="0" applyNumberFormat="1" applyFont="1" applyAlignment="1">
      <alignment horizontal="center"/>
    </xf>
    <xf numFmtId="179" fontId="111" fillId="0" borderId="0" xfId="0" applyNumberFormat="1" applyFont="1" applyAlignment="1">
      <alignment horizontal="center"/>
    </xf>
    <xf numFmtId="179" fontId="107" fillId="27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8" fillId="26" borderId="0" xfId="0" applyFont="1" applyFill="1" applyAlignment="1">
      <alignment/>
    </xf>
    <xf numFmtId="2" fontId="98" fillId="26" borderId="0" xfId="0" applyNumberFormat="1" applyFont="1" applyFill="1" applyAlignment="1">
      <alignment horizontal="center" vertical="top"/>
    </xf>
    <xf numFmtId="176" fontId="0" fillId="26" borderId="0" xfId="0" applyNumberFormat="1" applyFont="1" applyFill="1" applyAlignment="1">
      <alignment horizontal="center"/>
    </xf>
    <xf numFmtId="0" fontId="57" fillId="26" borderId="0" xfId="0" applyFont="1" applyFill="1" applyAlignment="1">
      <alignment horizontal="center"/>
    </xf>
    <xf numFmtId="199" fontId="0" fillId="0" borderId="0" xfId="0" applyNumberFormat="1" applyFont="1" applyAlignment="1">
      <alignment horizontal="center"/>
    </xf>
    <xf numFmtId="0" fontId="2" fillId="0" borderId="10" xfId="54" applyFont="1" applyBorder="1" applyAlignment="1">
      <alignment horizontal="center" vertical="center" wrapText="1"/>
      <protection/>
    </xf>
    <xf numFmtId="0" fontId="2" fillId="26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103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center"/>
    </xf>
    <xf numFmtId="176" fontId="112" fillId="0" borderId="0" xfId="0" applyNumberFormat="1" applyFont="1" applyBorder="1" applyAlignment="1">
      <alignment horizontal="center" vertical="center" wrapText="1"/>
    </xf>
    <xf numFmtId="200" fontId="113" fillId="0" borderId="0" xfId="0" applyNumberFormat="1" applyFont="1" applyAlignment="1">
      <alignment/>
    </xf>
    <xf numFmtId="0" fontId="113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12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203" fontId="0" fillId="0" borderId="0" xfId="0" applyNumberFormat="1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201" fontId="0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201" fontId="112" fillId="0" borderId="0" xfId="0" applyNumberFormat="1" applyFont="1" applyAlignment="1">
      <alignment horizontal="center" vertical="center"/>
    </xf>
    <xf numFmtId="0" fontId="112" fillId="0" borderId="0" xfId="0" applyFont="1" applyAlignment="1">
      <alignment horizontal="center"/>
    </xf>
    <xf numFmtId="0" fontId="58" fillId="0" borderId="61" xfId="54" applyFont="1" applyFill="1" applyBorder="1" applyAlignment="1">
      <alignment horizontal="justify" vertical="center"/>
      <protection/>
    </xf>
    <xf numFmtId="0" fontId="28" fillId="0" borderId="61" xfId="54" applyFont="1" applyFill="1" applyBorder="1" applyAlignment="1">
      <alignment horizontal="justify" vertical="center"/>
      <protection/>
    </xf>
    <xf numFmtId="0" fontId="28" fillId="0" borderId="51" xfId="54" applyFont="1" applyFill="1" applyBorder="1" applyAlignment="1">
      <alignment horizontal="justify" vertical="center"/>
      <protection/>
    </xf>
    <xf numFmtId="0" fontId="28" fillId="0" borderId="56" xfId="54" applyFont="1" applyFill="1" applyBorder="1" applyAlignment="1">
      <alignment horizontal="justify" vertical="center" wrapText="1"/>
      <protection/>
    </xf>
    <xf numFmtId="0" fontId="28" fillId="0" borderId="61" xfId="54" applyFont="1" applyFill="1" applyBorder="1" applyAlignment="1">
      <alignment horizontal="justify" vertical="center" wrapText="1"/>
      <protection/>
    </xf>
    <xf numFmtId="0" fontId="28" fillId="0" borderId="61" xfId="54" applyFont="1" applyFill="1" applyBorder="1" applyAlignment="1">
      <alignment horizontal="left" vertical="center" wrapText="1"/>
      <protection/>
    </xf>
    <xf numFmtId="0" fontId="28" fillId="24" borderId="56" xfId="54" applyFont="1" applyFill="1" applyBorder="1" applyAlignment="1">
      <alignment horizontal="justify" vertical="center" wrapText="1"/>
      <protection/>
    </xf>
    <xf numFmtId="0" fontId="28" fillId="0" borderId="51" xfId="54" applyFont="1" applyFill="1" applyBorder="1" applyAlignment="1">
      <alignment horizontal="justify" vertical="center" wrapText="1"/>
      <protection/>
    </xf>
    <xf numFmtId="0" fontId="28" fillId="0" borderId="51" xfId="54" applyFont="1" applyFill="1" applyBorder="1" applyAlignment="1">
      <alignment vertical="center" wrapText="1"/>
      <protection/>
    </xf>
    <xf numFmtId="0" fontId="28" fillId="0" borderId="62" xfId="54" applyFont="1" applyFill="1" applyBorder="1" applyAlignment="1">
      <alignment vertical="center" wrapText="1"/>
      <protection/>
    </xf>
    <xf numFmtId="179" fontId="36" fillId="26" borderId="61" xfId="54" applyNumberFormat="1" applyFont="1" applyFill="1" applyBorder="1" applyAlignment="1">
      <alignment horizontal="justify" vertical="center" wrapText="1"/>
      <protection/>
    </xf>
    <xf numFmtId="179" fontId="28" fillId="26" borderId="61" xfId="54" applyNumberFormat="1" applyFont="1" applyFill="1" applyBorder="1" applyAlignment="1">
      <alignment horizontal="justify" vertical="center" wrapText="1"/>
      <protection/>
    </xf>
    <xf numFmtId="179" fontId="28" fillId="0" borderId="61" xfId="54" applyNumberFormat="1" applyFont="1" applyFill="1" applyBorder="1" applyAlignment="1">
      <alignment horizontal="justify" vertical="center" wrapText="1"/>
      <protection/>
    </xf>
    <xf numFmtId="0" fontId="28" fillId="26" borderId="61" xfId="54" applyFont="1" applyFill="1" applyBorder="1" applyAlignment="1">
      <alignment horizontal="justify" vertical="center" wrapText="1"/>
      <protection/>
    </xf>
    <xf numFmtId="0" fontId="28" fillId="26" borderId="61" xfId="54" applyFont="1" applyFill="1" applyBorder="1" applyAlignment="1">
      <alignment horizontal="left" vertical="center" wrapText="1"/>
      <protection/>
    </xf>
    <xf numFmtId="0" fontId="28" fillId="0" borderId="63" xfId="54" applyFont="1" applyFill="1" applyBorder="1" applyAlignment="1" quotePrefix="1">
      <alignment horizontal="justify" vertical="center" wrapText="1"/>
      <protection/>
    </xf>
    <xf numFmtId="9" fontId="28" fillId="26" borderId="48" xfId="54" applyNumberFormat="1" applyFont="1" applyFill="1" applyBorder="1" applyAlignment="1">
      <alignment horizontal="justify" vertical="center" wrapText="1"/>
      <protection/>
    </xf>
    <xf numFmtId="0" fontId="28" fillId="0" borderId="64" xfId="54" applyFont="1" applyFill="1" applyBorder="1" applyAlignment="1">
      <alignment vertical="center" wrapText="1"/>
      <protection/>
    </xf>
    <xf numFmtId="0" fontId="28" fillId="0" borderId="61" xfId="54" applyFont="1" applyFill="1" applyBorder="1" applyAlignment="1">
      <alignment vertical="center" wrapText="1"/>
      <protection/>
    </xf>
    <xf numFmtId="0" fontId="28" fillId="0" borderId="63" xfId="54" applyFont="1" applyFill="1" applyBorder="1" applyAlignment="1">
      <alignment horizontal="left" vertical="center" wrapText="1"/>
      <protection/>
    </xf>
    <xf numFmtId="0" fontId="28" fillId="0" borderId="51" xfId="54" applyFont="1" applyFill="1" applyBorder="1" applyAlignment="1">
      <alignment horizontal="left" vertical="center" wrapText="1"/>
      <protection/>
    </xf>
    <xf numFmtId="0" fontId="28" fillId="0" borderId="63" xfId="54" applyFont="1" applyFill="1" applyBorder="1" applyAlignment="1">
      <alignment horizontal="justify" vertical="center" wrapText="1"/>
      <protection/>
    </xf>
    <xf numFmtId="0" fontId="28" fillId="0" borderId="63" xfId="54" applyFont="1" applyFill="1" applyBorder="1" applyAlignment="1">
      <alignment vertical="center" wrapText="1"/>
      <protection/>
    </xf>
    <xf numFmtId="0" fontId="28" fillId="0" borderId="62" xfId="54" applyFont="1" applyFill="1" applyBorder="1" applyAlignment="1">
      <alignment horizontal="left" vertical="center" wrapText="1"/>
      <protection/>
    </xf>
    <xf numFmtId="0" fontId="28" fillId="0" borderId="64" xfId="54" applyFont="1" applyFill="1" applyBorder="1" applyAlignment="1">
      <alignment horizontal="left" vertical="center" wrapText="1"/>
      <protection/>
    </xf>
    <xf numFmtId="0" fontId="29" fillId="0" borderId="61" xfId="54" applyFont="1" applyFill="1" applyBorder="1" applyAlignment="1">
      <alignment horizontal="left" vertical="center"/>
      <protection/>
    </xf>
    <xf numFmtId="0" fontId="29" fillId="0" borderId="61" xfId="54" applyFont="1" applyFill="1" applyBorder="1" applyAlignment="1">
      <alignment horizontal="left" vertical="center" wrapText="1"/>
      <protection/>
    </xf>
    <xf numFmtId="0" fontId="29" fillId="0" borderId="64" xfId="54" applyFont="1" applyFill="1" applyBorder="1" applyAlignment="1">
      <alignment horizontal="left" vertical="center" wrapText="1"/>
      <protection/>
    </xf>
    <xf numFmtId="0" fontId="28" fillId="0" borderId="61" xfId="54" applyFont="1" applyFill="1" applyBorder="1" applyAlignment="1" quotePrefix="1">
      <alignment horizontal="left" vertical="center" wrapText="1"/>
      <protection/>
    </xf>
    <xf numFmtId="0" fontId="28" fillId="0" borderId="64" xfId="54" applyFont="1" applyFill="1" applyBorder="1" applyAlignment="1" quotePrefix="1">
      <alignment horizontal="left" vertical="center" wrapText="1"/>
      <protection/>
    </xf>
    <xf numFmtId="0" fontId="29" fillId="24" borderId="64" xfId="54" applyFont="1" applyFill="1" applyBorder="1" applyAlignment="1">
      <alignment horizontal="left" vertical="center" wrapText="1"/>
      <protection/>
    </xf>
    <xf numFmtId="0" fontId="29" fillId="24" borderId="61" xfId="54" applyFont="1" applyFill="1" applyBorder="1" applyAlignment="1">
      <alignment horizontal="left" vertical="center" wrapText="1"/>
      <protection/>
    </xf>
    <xf numFmtId="0" fontId="29" fillId="24" borderId="51" xfId="54" applyFont="1" applyFill="1" applyBorder="1" applyAlignment="1">
      <alignment horizontal="left" vertical="center" wrapText="1"/>
      <protection/>
    </xf>
    <xf numFmtId="0" fontId="28" fillId="24" borderId="51" xfId="54" applyFont="1" applyFill="1" applyBorder="1" applyAlignment="1">
      <alignment horizontal="left" vertical="center" wrapText="1"/>
      <protection/>
    </xf>
    <xf numFmtId="0" fontId="28" fillId="0" borderId="64" xfId="54" applyFont="1" applyFill="1" applyBorder="1" applyAlignment="1">
      <alignment horizontal="left" vertical="center"/>
      <protection/>
    </xf>
    <xf numFmtId="179" fontId="28" fillId="0" borderId="61" xfId="54" applyNumberFormat="1" applyFont="1" applyFill="1" applyBorder="1" applyAlignment="1">
      <alignment horizontal="left" vertical="center" wrapText="1"/>
      <protection/>
    </xf>
    <xf numFmtId="0" fontId="58" fillId="0" borderId="61" xfId="54" applyFont="1" applyFill="1" applyBorder="1" applyAlignment="1">
      <alignment horizontal="left" vertical="center"/>
      <protection/>
    </xf>
    <xf numFmtId="0" fontId="28" fillId="0" borderId="61" xfId="54" applyFont="1" applyFill="1" applyBorder="1" applyAlignment="1">
      <alignment horizontal="left" vertical="center"/>
      <protection/>
    </xf>
    <xf numFmtId="0" fontId="28" fillId="0" borderId="51" xfId="54" applyFont="1" applyFill="1" applyBorder="1" applyAlignment="1">
      <alignment horizontal="left" vertical="center"/>
      <protection/>
    </xf>
    <xf numFmtId="0" fontId="28" fillId="0" borderId="56" xfId="54" applyFont="1" applyFill="1" applyBorder="1" applyAlignment="1">
      <alignment horizontal="left" vertical="center" wrapText="1"/>
      <protection/>
    </xf>
    <xf numFmtId="0" fontId="28" fillId="24" borderId="56" xfId="54" applyFont="1" applyFill="1" applyBorder="1" applyAlignment="1">
      <alignment horizontal="left" vertical="center" wrapText="1"/>
      <protection/>
    </xf>
    <xf numFmtId="179" fontId="36" fillId="26" borderId="61" xfId="54" applyNumberFormat="1" applyFont="1" applyFill="1" applyBorder="1" applyAlignment="1">
      <alignment horizontal="left" vertical="center" wrapText="1"/>
      <protection/>
    </xf>
    <xf numFmtId="179" fontId="28" fillId="26" borderId="61" xfId="54" applyNumberFormat="1" applyFont="1" applyFill="1" applyBorder="1" applyAlignment="1">
      <alignment horizontal="left" vertical="center" wrapText="1"/>
      <protection/>
    </xf>
    <xf numFmtId="0" fontId="28" fillId="0" borderId="63" xfId="54" applyFont="1" applyFill="1" applyBorder="1" applyAlignment="1" quotePrefix="1">
      <alignment horizontal="left" vertical="center" wrapText="1"/>
      <protection/>
    </xf>
    <xf numFmtId="9" fontId="28" fillId="26" borderId="48" xfId="54" applyNumberFormat="1" applyFont="1" applyFill="1" applyBorder="1" applyAlignment="1">
      <alignment horizontal="left" vertical="center" wrapText="1"/>
      <protection/>
    </xf>
    <xf numFmtId="179" fontId="28" fillId="26" borderId="48" xfId="54" applyNumberFormat="1" applyFont="1" applyFill="1" applyBorder="1" applyAlignment="1">
      <alignment horizontal="left" vertical="center" wrapText="1"/>
      <protection/>
    </xf>
    <xf numFmtId="179" fontId="28" fillId="26" borderId="56" xfId="54" applyNumberFormat="1" applyFont="1" applyFill="1" applyBorder="1" applyAlignment="1">
      <alignment horizontal="left" vertical="center" wrapText="1"/>
      <protection/>
    </xf>
    <xf numFmtId="0" fontId="58" fillId="0" borderId="61" xfId="54" applyFont="1" applyFill="1" applyBorder="1" applyAlignment="1">
      <alignment horizontal="left" vertical="center" wrapText="1"/>
      <protection/>
    </xf>
    <xf numFmtId="0" fontId="113" fillId="0" borderId="0" xfId="54" applyFont="1">
      <alignment/>
      <protection/>
    </xf>
    <xf numFmtId="179" fontId="28" fillId="26" borderId="48" xfId="54" applyNumberFormat="1" applyFont="1" applyFill="1" applyBorder="1" applyAlignment="1">
      <alignment horizontal="justify" vertical="center" wrapText="1"/>
      <protection/>
    </xf>
    <xf numFmtId="179" fontId="28" fillId="26" borderId="56" xfId="54" applyNumberFormat="1" applyFont="1" applyFill="1" applyBorder="1" applyAlignment="1">
      <alignment horizontal="justify" vertical="center" wrapText="1"/>
      <protection/>
    </xf>
    <xf numFmtId="0" fontId="103" fillId="26" borderId="10" xfId="54" applyFont="1" applyFill="1" applyBorder="1" applyAlignment="1">
      <alignment horizontal="center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26" borderId="0" xfId="54" applyFont="1" applyFill="1" applyBorder="1" applyAlignment="1">
      <alignment horizontal="center" vertical="top" wrapText="1"/>
      <protection/>
    </xf>
    <xf numFmtId="0" fontId="0" fillId="26" borderId="0" xfId="54" applyFont="1" applyFill="1" applyBorder="1" applyAlignment="1">
      <alignment vertical="top"/>
      <protection/>
    </xf>
    <xf numFmtId="0" fontId="0" fillId="26" borderId="0" xfId="54" applyFont="1" applyFill="1" applyBorder="1">
      <alignment/>
      <protection/>
    </xf>
    <xf numFmtId="0" fontId="36" fillId="26" borderId="10" xfId="54" applyFont="1" applyFill="1" applyBorder="1" applyAlignment="1">
      <alignment horizontal="center" vertical="center"/>
      <protection/>
    </xf>
    <xf numFmtId="0" fontId="36" fillId="26" borderId="10" xfId="54" applyFont="1" applyFill="1" applyBorder="1" applyAlignment="1">
      <alignment vertical="center" wrapText="1"/>
      <protection/>
    </xf>
    <xf numFmtId="0" fontId="28" fillId="26" borderId="51" xfId="54" applyFont="1" applyFill="1" applyBorder="1" applyAlignment="1">
      <alignment horizontal="left" vertical="center" wrapText="1"/>
      <protection/>
    </xf>
    <xf numFmtId="0" fontId="0" fillId="26" borderId="0" xfId="0" applyFont="1" applyFill="1" applyAlignment="1">
      <alignment horizontal="center" vertical="center"/>
    </xf>
    <xf numFmtId="176" fontId="0" fillId="26" borderId="0" xfId="0" applyNumberFormat="1" applyFont="1" applyFill="1" applyAlignment="1">
      <alignment/>
    </xf>
    <xf numFmtId="2" fontId="0" fillId="26" borderId="0" xfId="0" applyNumberFormat="1" applyFont="1" applyFill="1" applyAlignment="1">
      <alignment vertical="top"/>
    </xf>
    <xf numFmtId="49" fontId="0" fillId="26" borderId="0" xfId="0" applyNumberFormat="1" applyFont="1" applyFill="1" applyBorder="1" applyAlignment="1">
      <alignment horizontal="left" vertical="top"/>
    </xf>
    <xf numFmtId="2" fontId="0" fillId="26" borderId="0" xfId="0" applyNumberFormat="1" applyFont="1" applyFill="1" applyAlignment="1">
      <alignment vertical="top" wrapText="1"/>
    </xf>
    <xf numFmtId="2" fontId="0" fillId="26" borderId="0" xfId="0" applyNumberFormat="1" applyFont="1" applyFill="1" applyAlignment="1">
      <alignment horizontal="center" vertical="top" wrapText="1"/>
    </xf>
    <xf numFmtId="2" fontId="0" fillId="26" borderId="0" xfId="0" applyNumberFormat="1" applyFont="1" applyFill="1" applyAlignment="1">
      <alignment horizontal="center" vertical="center"/>
    </xf>
    <xf numFmtId="0" fontId="2" fillId="26" borderId="0" xfId="0" applyFont="1" applyFill="1" applyAlignment="1">
      <alignment/>
    </xf>
    <xf numFmtId="202" fontId="0" fillId="26" borderId="0" xfId="0" applyNumberFormat="1" applyFont="1" applyFill="1" applyAlignment="1">
      <alignment horizontal="center" vertical="center"/>
    </xf>
    <xf numFmtId="179" fontId="0" fillId="26" borderId="0" xfId="0" applyNumberFormat="1" applyFont="1" applyFill="1" applyAlignment="1">
      <alignment/>
    </xf>
    <xf numFmtId="0" fontId="57" fillId="26" borderId="0" xfId="0" applyFont="1" applyFill="1" applyAlignment="1">
      <alignment/>
    </xf>
    <xf numFmtId="202" fontId="0" fillId="0" borderId="0" xfId="0" applyNumberFormat="1" applyFont="1" applyFill="1" applyAlignment="1">
      <alignment/>
    </xf>
    <xf numFmtId="176" fontId="0" fillId="0" borderId="0" xfId="54" applyNumberFormat="1" applyFont="1">
      <alignment/>
      <protection/>
    </xf>
    <xf numFmtId="0" fontId="103" fillId="28" borderId="10" xfId="54" applyFont="1" applyFill="1" applyBorder="1" applyAlignment="1">
      <alignment horizontal="center" vertical="center" wrapText="1"/>
      <protection/>
    </xf>
    <xf numFmtId="179" fontId="36" fillId="26" borderId="10" xfId="54" applyNumberFormat="1" applyFont="1" applyFill="1" applyBorder="1" applyAlignment="1">
      <alignment horizontal="center" vertical="center"/>
      <protection/>
    </xf>
    <xf numFmtId="176" fontId="97" fillId="26" borderId="10" xfId="54" applyNumberFormat="1" applyFont="1" applyFill="1" applyBorder="1" applyAlignment="1">
      <alignment horizontal="center" wrapText="1"/>
      <protection/>
    </xf>
    <xf numFmtId="176" fontId="0" fillId="26" borderId="21" xfId="0" applyNumberFormat="1" applyFont="1" applyFill="1" applyBorder="1" applyAlignment="1">
      <alignment horizontal="right"/>
    </xf>
    <xf numFmtId="0" fontId="0" fillId="26" borderId="14" xfId="0" applyFont="1" applyFill="1" applyBorder="1" applyAlignment="1">
      <alignment/>
    </xf>
    <xf numFmtId="0" fontId="2" fillId="26" borderId="10" xfId="54" applyFont="1" applyFill="1" applyBorder="1" applyAlignment="1">
      <alignment horizontal="center"/>
      <protection/>
    </xf>
    <xf numFmtId="2" fontId="28" fillId="0" borderId="61" xfId="54" applyNumberFormat="1" applyFont="1" applyFill="1" applyBorder="1" applyAlignment="1">
      <alignment horizontal="left" vertical="center" wrapText="1"/>
      <protection/>
    </xf>
    <xf numFmtId="199" fontId="0" fillId="26" borderId="0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left"/>
    </xf>
    <xf numFmtId="3" fontId="112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179" fontId="107" fillId="0" borderId="0" xfId="0" applyNumberFormat="1" applyFont="1" applyAlignment="1">
      <alignment horizontal="center"/>
    </xf>
    <xf numFmtId="176" fontId="114" fillId="0" borderId="0" xfId="0" applyNumberFormat="1" applyFont="1" applyBorder="1" applyAlignment="1">
      <alignment horizontal="center" vertical="center" wrapText="1"/>
    </xf>
    <xf numFmtId="0" fontId="107" fillId="0" borderId="0" xfId="54" applyFont="1">
      <alignment/>
      <protection/>
    </xf>
    <xf numFmtId="176" fontId="107" fillId="0" borderId="0" xfId="54" applyNumberFormat="1" applyFont="1">
      <alignment/>
      <protection/>
    </xf>
    <xf numFmtId="185" fontId="114" fillId="0" borderId="0" xfId="0" applyNumberFormat="1" applyFont="1" applyAlignment="1">
      <alignment horizontal="left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Fill="1" applyBorder="1" applyAlignment="1">
      <alignment horizontal="center" vertical="center" wrapText="1"/>
    </xf>
    <xf numFmtId="3" fontId="115" fillId="0" borderId="0" xfId="0" applyNumberFormat="1" applyFont="1" applyFill="1" applyBorder="1" applyAlignment="1">
      <alignment horizontal="center" vertical="center" wrapText="1"/>
    </xf>
    <xf numFmtId="0" fontId="116" fillId="0" borderId="0" xfId="0" applyFont="1" applyAlignment="1">
      <alignment horizontal="left"/>
    </xf>
    <xf numFmtId="176" fontId="11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107" fillId="0" borderId="0" xfId="0" applyNumberFormat="1" applyFont="1" applyAlignment="1">
      <alignment horizontal="center"/>
    </xf>
    <xf numFmtId="176" fontId="107" fillId="26" borderId="0" xfId="0" applyNumberFormat="1" applyFont="1" applyFill="1" applyAlignment="1">
      <alignment horizontal="center"/>
    </xf>
    <xf numFmtId="179" fontId="107" fillId="26" borderId="0" xfId="0" applyNumberFormat="1" applyFont="1" applyFill="1" applyAlignment="1">
      <alignment/>
    </xf>
    <xf numFmtId="0" fontId="107" fillId="26" borderId="0" xfId="0" applyFont="1" applyFill="1" applyAlignment="1">
      <alignment/>
    </xf>
    <xf numFmtId="0" fontId="28" fillId="26" borderId="51" xfId="54" applyFont="1" applyFill="1" applyBorder="1" applyAlignment="1">
      <alignment horizontal="justify" vertical="center"/>
      <protection/>
    </xf>
    <xf numFmtId="0" fontId="28" fillId="26" borderId="61" xfId="54" applyFont="1" applyFill="1" applyBorder="1" applyAlignment="1">
      <alignment horizontal="justify" vertical="center"/>
      <protection/>
    </xf>
    <xf numFmtId="0" fontId="28" fillId="26" borderId="51" xfId="54" applyFont="1" applyFill="1" applyBorder="1" applyAlignment="1">
      <alignment horizontal="left" vertical="center"/>
      <protection/>
    </xf>
    <xf numFmtId="0" fontId="28" fillId="26" borderId="61" xfId="54" applyFont="1" applyFill="1" applyBorder="1" applyAlignment="1">
      <alignment horizontal="left" vertical="center"/>
      <protection/>
    </xf>
    <xf numFmtId="0" fontId="28" fillId="26" borderId="10" xfId="54" applyFont="1" applyFill="1" applyBorder="1" applyAlignment="1">
      <alignment horizontal="center" vertical="center"/>
      <protection/>
    </xf>
    <xf numFmtId="0" fontId="60" fillId="0" borderId="10" xfId="54" applyFont="1" applyBorder="1" applyAlignment="1">
      <alignment horizontal="left" vertical="top" wrapText="1"/>
      <protection/>
    </xf>
    <xf numFmtId="0" fontId="60" fillId="0" borderId="10" xfId="0" applyFont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17" fontId="107" fillId="24" borderId="0" xfId="54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left" vertical="top" wrapText="1"/>
    </xf>
    <xf numFmtId="0" fontId="60" fillId="0" borderId="16" xfId="0" applyFont="1" applyBorder="1" applyAlignment="1">
      <alignment vertical="top" wrapText="1"/>
    </xf>
    <xf numFmtId="17" fontId="107" fillId="0" borderId="0" xfId="54" applyNumberFormat="1" applyFont="1" applyFill="1" applyBorder="1" applyAlignment="1">
      <alignment horizontal="center" vertical="top" wrapText="1"/>
      <protection/>
    </xf>
    <xf numFmtId="49" fontId="61" fillId="0" borderId="58" xfId="0" applyNumberFormat="1" applyFont="1" applyBorder="1" applyAlignment="1">
      <alignment horizontal="center" vertical="center" wrapText="1"/>
    </xf>
    <xf numFmtId="49" fontId="61" fillId="24" borderId="10" xfId="0" applyNumberFormat="1" applyFont="1" applyFill="1" applyBorder="1" applyAlignment="1">
      <alignment horizontal="center" vertical="center" wrapText="1"/>
    </xf>
    <xf numFmtId="0" fontId="60" fillId="24" borderId="10" xfId="0" applyFont="1" applyFill="1" applyBorder="1" applyAlignment="1">
      <alignment vertical="top" wrapText="1"/>
    </xf>
    <xf numFmtId="17" fontId="107" fillId="0" borderId="0" xfId="54" applyNumberFormat="1" applyFont="1" applyFill="1" applyBorder="1" applyAlignment="1">
      <alignment horizontal="center" vertical="center" wrapText="1"/>
      <protection/>
    </xf>
    <xf numFmtId="0" fontId="28" fillId="26" borderId="56" xfId="54" applyFont="1" applyFill="1" applyBorder="1" applyAlignment="1">
      <alignment horizontal="left" vertical="center" wrapText="1"/>
      <protection/>
    </xf>
    <xf numFmtId="0" fontId="28" fillId="26" borderId="62" xfId="54" applyFont="1" applyFill="1" applyBorder="1" applyAlignment="1">
      <alignment horizontal="left" vertical="center" wrapText="1"/>
      <protection/>
    </xf>
    <xf numFmtId="17" fontId="20" fillId="26" borderId="16" xfId="0" applyNumberFormat="1" applyFont="1" applyFill="1" applyBorder="1" applyAlignment="1">
      <alignment horizontal="center" vertical="center" wrapText="1"/>
    </xf>
    <xf numFmtId="0" fontId="107" fillId="0" borderId="0" xfId="54" applyFont="1" applyFill="1">
      <alignment/>
      <protection/>
    </xf>
    <xf numFmtId="17" fontId="35" fillId="26" borderId="21" xfId="54" applyNumberFormat="1" applyFont="1" applyFill="1" applyBorder="1" applyAlignment="1">
      <alignment horizontal="center" vertical="center" wrapText="1"/>
      <protection/>
    </xf>
    <xf numFmtId="17" fontId="0" fillId="26" borderId="21" xfId="54" applyNumberFormat="1" applyFont="1" applyFill="1" applyBorder="1" applyAlignment="1">
      <alignment horizontal="center" vertical="center" wrapText="1"/>
      <protection/>
    </xf>
    <xf numFmtId="17" fontId="0" fillId="26" borderId="54" xfId="54" applyNumberFormat="1" applyFont="1" applyFill="1" applyBorder="1" applyAlignment="1">
      <alignment horizontal="center" vertical="center" wrapText="1"/>
      <protection/>
    </xf>
    <xf numFmtId="0" fontId="0" fillId="26" borderId="21" xfId="54" applyNumberFormat="1" applyFont="1" applyFill="1" applyBorder="1" applyAlignment="1">
      <alignment horizontal="center" vertical="center" wrapText="1"/>
      <protection/>
    </xf>
    <xf numFmtId="0" fontId="60" fillId="29" borderId="10" xfId="54" applyFont="1" applyFill="1" applyBorder="1" applyAlignment="1">
      <alignment vertical="top" wrapText="1"/>
      <protection/>
    </xf>
    <xf numFmtId="0" fontId="60" fillId="29" borderId="10" xfId="0" applyFont="1" applyFill="1" applyBorder="1" applyAlignment="1">
      <alignment vertical="top" wrapText="1"/>
    </xf>
    <xf numFmtId="17" fontId="107" fillId="24" borderId="0" xfId="54" applyNumberFormat="1" applyFont="1" applyFill="1" applyBorder="1" applyAlignment="1">
      <alignment horizontal="center" vertical="top" wrapText="1"/>
      <protection/>
    </xf>
    <xf numFmtId="17" fontId="0" fillId="26" borderId="16" xfId="54" applyNumberFormat="1" applyFont="1" applyFill="1" applyBorder="1" applyAlignment="1">
      <alignment horizontal="center" vertical="center" wrapText="1"/>
      <protection/>
    </xf>
    <xf numFmtId="0" fontId="0" fillId="26" borderId="31" xfId="54" applyNumberFormat="1" applyFont="1" applyFill="1" applyBorder="1" applyAlignment="1">
      <alignment horizontal="center" vertical="center" wrapText="1"/>
      <protection/>
    </xf>
    <xf numFmtId="0" fontId="60" fillId="26" borderId="10" xfId="0" applyFont="1" applyFill="1" applyBorder="1" applyAlignment="1">
      <alignment vertical="top" wrapText="1"/>
    </xf>
    <xf numFmtId="17" fontId="0" fillId="26" borderId="16" xfId="0" applyNumberFormat="1" applyFont="1" applyFill="1" applyBorder="1" applyAlignment="1">
      <alignment horizontal="center" vertical="center" wrapText="1"/>
    </xf>
    <xf numFmtId="0" fontId="60" fillId="26" borderId="10" xfId="0" applyFont="1" applyFill="1" applyBorder="1" applyAlignment="1">
      <alignment horizontal="left" vertical="top" wrapText="1"/>
    </xf>
    <xf numFmtId="17" fontId="0" fillId="26" borderId="10" xfId="54" applyNumberFormat="1" applyFont="1" applyFill="1" applyBorder="1" applyAlignment="1">
      <alignment horizontal="center" vertical="center" wrapText="1"/>
      <protection/>
    </xf>
    <xf numFmtId="0" fontId="60" fillId="26" borderId="16" xfId="0" applyFont="1" applyFill="1" applyBorder="1" applyAlignment="1">
      <alignment vertical="top" wrapText="1"/>
    </xf>
    <xf numFmtId="0" fontId="0" fillId="26" borderId="52" xfId="54" applyNumberFormat="1" applyFont="1" applyFill="1" applyBorder="1" applyAlignment="1">
      <alignment horizontal="center" vertical="center" wrapText="1"/>
      <protection/>
    </xf>
    <xf numFmtId="0" fontId="0" fillId="26" borderId="53" xfId="54" applyNumberFormat="1" applyFont="1" applyFill="1" applyBorder="1" applyAlignment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179" fontId="107" fillId="0" borderId="0" xfId="54" applyNumberFormat="1" applyFont="1">
      <alignment/>
      <protection/>
    </xf>
    <xf numFmtId="0" fontId="118" fillId="0" borderId="0" xfId="54" applyFont="1" applyFill="1">
      <alignment/>
      <protection/>
    </xf>
    <xf numFmtId="0" fontId="119" fillId="0" borderId="0" xfId="54" applyFont="1" applyFill="1">
      <alignment/>
      <protection/>
    </xf>
    <xf numFmtId="0" fontId="120" fillId="26" borderId="56" xfId="54" applyFont="1" applyFill="1" applyBorder="1" applyAlignment="1">
      <alignment horizontal="left" vertical="center" wrapText="1"/>
      <protection/>
    </xf>
    <xf numFmtId="0" fontId="120" fillId="26" borderId="63" xfId="54" applyFont="1" applyFill="1" applyBorder="1" applyAlignment="1">
      <alignment vertical="center" wrapText="1"/>
      <protection/>
    </xf>
    <xf numFmtId="0" fontId="120" fillId="26" borderId="61" xfId="54" applyFont="1" applyFill="1" applyBorder="1" applyAlignment="1">
      <alignment horizontal="left" vertical="center" wrapText="1"/>
      <protection/>
    </xf>
    <xf numFmtId="176" fontId="0" fillId="26" borderId="0" xfId="0" applyNumberFormat="1" applyFont="1" applyFill="1" applyAlignment="1">
      <alignment horizontal="center" vertical="center"/>
    </xf>
    <xf numFmtId="17" fontId="35" fillId="24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Alignment="1">
      <alignment horizontal="center" vertical="center" wrapText="1"/>
      <protection/>
    </xf>
    <xf numFmtId="0" fontId="107" fillId="0" borderId="0" xfId="54" applyFont="1" applyFill="1" applyAlignment="1">
      <alignment horizontal="center" vertical="center" wrapText="1"/>
      <protection/>
    </xf>
    <xf numFmtId="0" fontId="121" fillId="0" borderId="0" xfId="54" applyFont="1" applyFill="1" applyAlignment="1">
      <alignment horizontal="center" vertical="center" wrapText="1"/>
      <protection/>
    </xf>
    <xf numFmtId="185" fontId="121" fillId="0" borderId="0" xfId="54" applyNumberFormat="1" applyFont="1" applyFill="1" applyAlignment="1">
      <alignment horizontal="center" vertical="center" wrapText="1"/>
      <protection/>
    </xf>
    <xf numFmtId="0" fontId="122" fillId="0" borderId="0" xfId="42" applyFont="1" applyFill="1" applyAlignment="1" applyProtection="1">
      <alignment horizontal="center" vertical="center" wrapText="1"/>
      <protection/>
    </xf>
    <xf numFmtId="0" fontId="20" fillId="0" borderId="0" xfId="54" applyFont="1" applyFill="1" applyAlignment="1">
      <alignment horizontal="center" vertical="center" wrapText="1"/>
      <protection/>
    </xf>
    <xf numFmtId="0" fontId="123" fillId="0" borderId="0" xfId="54" applyFont="1" applyFill="1" applyAlignment="1">
      <alignment horizontal="center" vertical="center" wrapText="1"/>
      <protection/>
    </xf>
    <xf numFmtId="0" fontId="20" fillId="0" borderId="65" xfId="54" applyFont="1" applyFill="1" applyBorder="1" applyAlignment="1">
      <alignment horizontal="center" vertical="center" wrapText="1"/>
      <protection/>
    </xf>
    <xf numFmtId="0" fontId="124" fillId="0" borderId="65" xfId="54" applyFont="1" applyFill="1" applyBorder="1" applyAlignment="1">
      <alignment horizontal="center" vertical="center" wrapText="1"/>
      <protection/>
    </xf>
    <xf numFmtId="0" fontId="0" fillId="0" borderId="0" xfId="54" applyNumberFormat="1" applyFill="1" applyAlignment="1">
      <alignment horizontal="center" vertical="center" wrapText="1"/>
      <protection/>
    </xf>
    <xf numFmtId="0" fontId="125" fillId="0" borderId="0" xfId="54" applyNumberFormat="1" applyFont="1" applyFill="1" applyAlignment="1">
      <alignment horizontal="center" vertical="center" wrapText="1"/>
      <protection/>
    </xf>
    <xf numFmtId="0" fontId="121" fillId="0" borderId="0" xfId="54" applyNumberFormat="1" applyFont="1" applyFill="1" applyAlignment="1">
      <alignment horizontal="center" vertical="center" wrapText="1"/>
      <protection/>
    </xf>
    <xf numFmtId="0" fontId="122" fillId="0" borderId="0" xfId="42" applyNumberFormat="1" applyFont="1" applyFill="1" applyAlignment="1" applyProtection="1">
      <alignment horizontal="center" vertical="center" wrapText="1"/>
      <protection/>
    </xf>
    <xf numFmtId="0" fontId="126" fillId="0" borderId="0" xfId="54" applyFont="1" applyFill="1" applyAlignment="1">
      <alignment horizontal="center" vertical="center" wrapText="1"/>
      <protection/>
    </xf>
    <xf numFmtId="181" fontId="107" fillId="0" borderId="0" xfId="54" applyNumberFormat="1" applyFont="1" applyFill="1" applyAlignment="1">
      <alignment horizontal="center" vertical="center" wrapText="1"/>
      <protection/>
    </xf>
    <xf numFmtId="179" fontId="0" fillId="0" borderId="0" xfId="54" applyNumberFormat="1" applyFill="1" applyAlignment="1">
      <alignment horizontal="center" vertical="center" wrapText="1"/>
      <protection/>
    </xf>
    <xf numFmtId="0" fontId="127" fillId="0" borderId="0" xfId="54" applyFont="1" applyFill="1" applyAlignment="1">
      <alignment horizontal="center" vertical="center" wrapText="1"/>
      <protection/>
    </xf>
    <xf numFmtId="176" fontId="121" fillId="0" borderId="0" xfId="54" applyNumberFormat="1" applyFont="1" applyFill="1" applyAlignment="1">
      <alignment horizontal="center" vertical="center" wrapText="1"/>
      <protection/>
    </xf>
    <xf numFmtId="179" fontId="121" fillId="0" borderId="0" xfId="54" applyNumberFormat="1" applyFont="1" applyFill="1" applyAlignment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03" fillId="30" borderId="10" xfId="0" applyFont="1" applyFill="1" applyBorder="1" applyAlignment="1">
      <alignment horizontal="center" vertical="center" wrapText="1"/>
    </xf>
    <xf numFmtId="4" fontId="0" fillId="30" borderId="10" xfId="0" applyNumberFormat="1" applyFont="1" applyFill="1" applyBorder="1" applyAlignment="1">
      <alignment horizontal="right" vertical="center" wrapText="1"/>
    </xf>
    <xf numFmtId="4" fontId="98" fillId="30" borderId="10" xfId="0" applyNumberFormat="1" applyFont="1" applyFill="1" applyBorder="1" applyAlignment="1">
      <alignment horizontal="right" vertical="center" wrapText="1"/>
    </xf>
    <xf numFmtId="176" fontId="2" fillId="30" borderId="10" xfId="0" applyNumberFormat="1" applyFont="1" applyFill="1" applyBorder="1" applyAlignment="1">
      <alignment horizontal="right" vertical="center" wrapText="1"/>
    </xf>
    <xf numFmtId="176" fontId="103" fillId="30" borderId="10" xfId="0" applyNumberFormat="1" applyFont="1" applyFill="1" applyBorder="1" applyAlignment="1">
      <alignment horizontal="right" vertical="center" wrapText="1"/>
    </xf>
    <xf numFmtId="176" fontId="0" fillId="30" borderId="10" xfId="0" applyNumberFormat="1" applyFont="1" applyFill="1" applyBorder="1" applyAlignment="1">
      <alignment horizontal="right" vertical="center" wrapText="1"/>
    </xf>
    <xf numFmtId="176" fontId="98" fillId="30" borderId="10" xfId="0" applyNumberFormat="1" applyFont="1" applyFill="1" applyBorder="1" applyAlignment="1">
      <alignment horizontal="right" vertical="center" wrapText="1"/>
    </xf>
    <xf numFmtId="176" fontId="0" fillId="30" borderId="14" xfId="0" applyNumberFormat="1" applyFont="1" applyFill="1" applyBorder="1" applyAlignment="1">
      <alignment horizontal="right" vertical="center" wrapText="1"/>
    </xf>
    <xf numFmtId="176" fontId="98" fillId="30" borderId="14" xfId="0" applyNumberFormat="1" applyFont="1" applyFill="1" applyBorder="1" applyAlignment="1">
      <alignment horizontal="right" vertical="center" wrapText="1"/>
    </xf>
    <xf numFmtId="0" fontId="2" fillId="30" borderId="10" xfId="54" applyFont="1" applyFill="1" applyBorder="1" applyAlignment="1">
      <alignment horizontal="center" vertical="center" wrapText="1"/>
      <protection/>
    </xf>
    <xf numFmtId="0" fontId="2" fillId="30" borderId="10" xfId="54" applyFont="1" applyFill="1" applyBorder="1" applyAlignment="1">
      <alignment horizontal="center"/>
      <protection/>
    </xf>
    <xf numFmtId="0" fontId="103" fillId="30" borderId="10" xfId="54" applyFont="1" applyFill="1" applyBorder="1" applyAlignment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0" fontId="20" fillId="0" borderId="0" xfId="54" applyFont="1" applyFill="1" applyAlignment="1">
      <alignment horizontal="center"/>
      <protection/>
    </xf>
    <xf numFmtId="0" fontId="128" fillId="0" borderId="0" xfId="54" applyFont="1" applyFill="1" applyAlignment="1">
      <alignment horizontal="center"/>
      <protection/>
    </xf>
    <xf numFmtId="0" fontId="129" fillId="0" borderId="0" xfId="54" applyNumberFormat="1" applyFont="1" applyFill="1" applyAlignment="1">
      <alignment horizontal="center" vertical="center" wrapText="1"/>
      <protection/>
    </xf>
    <xf numFmtId="0" fontId="130" fillId="0" borderId="0" xfId="54" applyFont="1" applyFill="1" applyAlignment="1">
      <alignment horizontal="center" vertical="center" wrapText="1"/>
      <protection/>
    </xf>
    <xf numFmtId="0" fontId="130" fillId="0" borderId="0" xfId="54" applyFont="1" applyFill="1">
      <alignment/>
      <protection/>
    </xf>
    <xf numFmtId="0" fontId="129" fillId="0" borderId="0" xfId="54" applyFont="1" applyFill="1">
      <alignment/>
      <protection/>
    </xf>
    <xf numFmtId="0" fontId="128" fillId="0" borderId="0" xfId="54" applyFont="1" applyFill="1">
      <alignment/>
      <protection/>
    </xf>
    <xf numFmtId="0" fontId="129" fillId="0" borderId="0" xfId="54" applyFont="1" applyFill="1" applyAlignment="1">
      <alignment horizontal="center" vertical="center" wrapText="1"/>
      <protection/>
    </xf>
    <xf numFmtId="0" fontId="130" fillId="0" borderId="0" xfId="54" applyFont="1">
      <alignment/>
      <protection/>
    </xf>
    <xf numFmtId="176" fontId="0" fillId="27" borderId="10" xfId="0" applyNumberFormat="1" applyFont="1" applyFill="1" applyBorder="1" applyAlignment="1">
      <alignment horizontal="right" vertical="center" wrapText="1"/>
    </xf>
    <xf numFmtId="176" fontId="2" fillId="27" borderId="10" xfId="0" applyNumberFormat="1" applyFont="1" applyFill="1" applyBorder="1" applyAlignment="1">
      <alignment horizontal="right" vertical="center" wrapText="1"/>
    </xf>
    <xf numFmtId="0" fontId="0" fillId="0" borderId="0" xfId="54" applyFont="1" applyAlignment="1">
      <alignment horizontal="center"/>
      <protection/>
    </xf>
    <xf numFmtId="185" fontId="107" fillId="27" borderId="0" xfId="0" applyNumberFormat="1" applyFont="1" applyFill="1" applyAlignment="1">
      <alignment horizontal="center"/>
    </xf>
    <xf numFmtId="176" fontId="106" fillId="0" borderId="61" xfId="54" applyNumberFormat="1" applyFont="1" applyBorder="1">
      <alignment/>
      <protection/>
    </xf>
    <xf numFmtId="176" fontId="106" fillId="0" borderId="0" xfId="54" applyNumberFormat="1" applyFont="1" applyAlignment="1">
      <alignment horizontal="left"/>
      <protection/>
    </xf>
    <xf numFmtId="176" fontId="106" fillId="0" borderId="61" xfId="0" applyNumberFormat="1" applyFont="1" applyBorder="1" applyAlignment="1">
      <alignment horizontal="center" vertical="center"/>
    </xf>
    <xf numFmtId="176" fontId="98" fillId="31" borderId="10" xfId="0" applyNumberFormat="1" applyFont="1" applyFill="1" applyBorder="1" applyAlignment="1">
      <alignment horizontal="right" vertical="center" wrapText="1"/>
    </xf>
    <xf numFmtId="0" fontId="2" fillId="31" borderId="14" xfId="0" applyFont="1" applyFill="1" applyBorder="1" applyAlignment="1">
      <alignment horizontal="center" vertical="center" wrapText="1"/>
    </xf>
    <xf numFmtId="176" fontId="98" fillId="31" borderId="21" xfId="0" applyNumberFormat="1" applyFont="1" applyFill="1" applyBorder="1" applyAlignment="1">
      <alignment horizontal="right" vertical="center" wrapText="1"/>
    </xf>
    <xf numFmtId="176" fontId="0" fillId="31" borderId="10" xfId="0" applyNumberFormat="1" applyFont="1" applyFill="1" applyBorder="1" applyAlignment="1">
      <alignment horizontal="right" vertical="center" wrapText="1"/>
    </xf>
    <xf numFmtId="176" fontId="97" fillId="31" borderId="10" xfId="0" applyNumberFormat="1" applyFont="1" applyFill="1" applyBorder="1" applyAlignment="1">
      <alignment horizontal="right" vertical="center" wrapText="1"/>
    </xf>
    <xf numFmtId="176" fontId="0" fillId="31" borderId="14" xfId="0" applyNumberFormat="1" applyFont="1" applyFill="1" applyBorder="1" applyAlignment="1">
      <alignment horizontal="right" vertical="center" wrapText="1"/>
    </xf>
    <xf numFmtId="176" fontId="97" fillId="31" borderId="14" xfId="0" applyNumberFormat="1" applyFont="1" applyFill="1" applyBorder="1" applyAlignment="1">
      <alignment horizontal="right" vertical="center" wrapText="1"/>
    </xf>
    <xf numFmtId="176" fontId="0" fillId="31" borderId="21" xfId="0" applyNumberFormat="1" applyFont="1" applyFill="1" applyBorder="1" applyAlignment="1">
      <alignment horizontal="right" vertical="center" wrapText="1"/>
    </xf>
    <xf numFmtId="176" fontId="0" fillId="31" borderId="10" xfId="0" applyNumberFormat="1" applyFont="1" applyFill="1" applyBorder="1" applyAlignment="1">
      <alignment horizontal="right"/>
    </xf>
    <xf numFmtId="176" fontId="97" fillId="31" borderId="10" xfId="0" applyNumberFormat="1" applyFont="1" applyFill="1" applyBorder="1" applyAlignment="1">
      <alignment horizontal="right"/>
    </xf>
    <xf numFmtId="176" fontId="0" fillId="31" borderId="14" xfId="0" applyNumberFormat="1" applyFont="1" applyFill="1" applyBorder="1" applyAlignment="1">
      <alignment horizontal="right"/>
    </xf>
    <xf numFmtId="176" fontId="0" fillId="31" borderId="21" xfId="0" applyNumberFormat="1" applyFont="1" applyFill="1" applyBorder="1" applyAlignment="1">
      <alignment horizontal="right"/>
    </xf>
    <xf numFmtId="176" fontId="98" fillId="31" borderId="21" xfId="0" applyNumberFormat="1" applyFont="1" applyFill="1" applyBorder="1" applyAlignment="1">
      <alignment horizontal="right"/>
    </xf>
    <xf numFmtId="0" fontId="0" fillId="31" borderId="14" xfId="0" applyFont="1" applyFill="1" applyBorder="1" applyAlignment="1">
      <alignment/>
    </xf>
    <xf numFmtId="49" fontId="0" fillId="26" borderId="10" xfId="54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left" wrapText="1"/>
    </xf>
    <xf numFmtId="0" fontId="2" fillId="2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26" borderId="69" xfId="0" applyFont="1" applyFill="1" applyBorder="1" applyAlignment="1">
      <alignment horizontal="center" vertical="center" wrapText="1"/>
    </xf>
    <xf numFmtId="0" fontId="2" fillId="26" borderId="70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98" fillId="26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/>
    </xf>
    <xf numFmtId="0" fontId="2" fillId="26" borderId="5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/>
    </xf>
    <xf numFmtId="0" fontId="2" fillId="3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03" fillId="31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Border="1" applyAlignment="1">
      <alignment horizontal="center" vertical="top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0" fillId="0" borderId="0" xfId="54" applyFont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26" borderId="10" xfId="54" applyFont="1" applyFill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9" fillId="0" borderId="0" xfId="54" applyFont="1" applyFill="1" applyAlignment="1">
      <alignment horizontal="center" wrapText="1"/>
      <protection/>
    </xf>
    <xf numFmtId="0" fontId="29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 vertical="center"/>
      <protection/>
    </xf>
    <xf numFmtId="0" fontId="28" fillId="0" borderId="51" xfId="54" applyFont="1" applyFill="1" applyBorder="1" applyAlignment="1">
      <alignment horizontal="left" vertical="center" wrapText="1"/>
      <protection/>
    </xf>
    <xf numFmtId="0" fontId="28" fillId="0" borderId="62" xfId="54" applyFont="1" applyFill="1" applyBorder="1" applyAlignment="1">
      <alignment horizontal="left" vertical="center" wrapText="1"/>
      <protection/>
    </xf>
    <xf numFmtId="0" fontId="28" fillId="0" borderId="64" xfId="54" applyFont="1" applyFill="1" applyBorder="1" applyAlignment="1">
      <alignment horizontal="left" vertical="center" wrapText="1"/>
      <protection/>
    </xf>
    <xf numFmtId="0" fontId="28" fillId="0" borderId="0" xfId="54" applyFont="1" applyFill="1" applyAlignment="1">
      <alignment horizontal="left" wrapText="1"/>
      <protection/>
    </xf>
    <xf numFmtId="1" fontId="28" fillId="0" borderId="0" xfId="54" applyNumberFormat="1" applyFont="1" applyFill="1" applyAlignment="1">
      <alignment horizontal="center" vertical="top"/>
      <protection/>
    </xf>
    <xf numFmtId="0" fontId="2" fillId="0" borderId="18" xfId="54" applyNumberFormat="1" applyFont="1" applyFill="1" applyBorder="1" applyAlignment="1">
      <alignment horizontal="center" vertical="top" wrapText="1"/>
      <protection/>
    </xf>
    <xf numFmtId="0" fontId="0" fillId="0" borderId="72" xfId="54" applyFill="1" applyBorder="1" applyAlignment="1">
      <alignment horizontal="center" vertical="top" wrapText="1"/>
      <protection/>
    </xf>
    <xf numFmtId="0" fontId="0" fillId="0" borderId="73" xfId="54" applyFill="1" applyBorder="1" applyAlignment="1">
      <alignment horizontal="center" vertical="top" wrapText="1"/>
      <protection/>
    </xf>
    <xf numFmtId="0" fontId="0" fillId="0" borderId="0" xfId="54" applyFont="1" applyFill="1" applyAlignment="1">
      <alignment horizontal="center"/>
      <protection/>
    </xf>
    <xf numFmtId="0" fontId="2" fillId="0" borderId="69" xfId="54" applyFont="1" applyFill="1" applyBorder="1" applyAlignment="1">
      <alignment horizontal="center" vertical="center" wrapText="1"/>
      <protection/>
    </xf>
    <xf numFmtId="0" fontId="2" fillId="0" borderId="74" xfId="54" applyFont="1" applyFill="1" applyBorder="1" applyAlignment="1">
      <alignment horizontal="center" vertical="center" wrapText="1"/>
      <protection/>
    </xf>
    <xf numFmtId="0" fontId="2" fillId="0" borderId="63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57" xfId="54" applyFont="1" applyFill="1" applyBorder="1" applyAlignment="1">
      <alignment horizontal="center" vertical="center" wrapText="1"/>
      <protection/>
    </xf>
    <xf numFmtId="0" fontId="0" fillId="0" borderId="28" xfId="54" applyFill="1" applyBorder="1" applyAlignment="1">
      <alignment horizontal="center" wrapText="1"/>
      <protection/>
    </xf>
    <xf numFmtId="0" fontId="0" fillId="0" borderId="0" xfId="54" applyFill="1" applyBorder="1" applyAlignment="1">
      <alignment horizontal="center" wrapText="1"/>
      <protection/>
    </xf>
    <xf numFmtId="0" fontId="0" fillId="0" borderId="57" xfId="54" applyFill="1" applyBorder="1" applyAlignment="1">
      <alignment horizontal="center" wrapText="1"/>
      <protection/>
    </xf>
    <xf numFmtId="0" fontId="0" fillId="0" borderId="31" xfId="54" applyFill="1" applyBorder="1" applyAlignment="1">
      <alignment horizontal="center" wrapText="1"/>
      <protection/>
    </xf>
    <xf numFmtId="0" fontId="0" fillId="0" borderId="52" xfId="54" applyFill="1" applyBorder="1" applyAlignment="1">
      <alignment horizontal="center" wrapText="1"/>
      <protection/>
    </xf>
    <xf numFmtId="0" fontId="0" fillId="0" borderId="53" xfId="54" applyFill="1" applyBorder="1" applyAlignment="1">
      <alignment horizont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67" xfId="54" applyNumberFormat="1" applyFont="1" applyFill="1" applyBorder="1" applyAlignment="1">
      <alignment horizontal="center" vertical="center" wrapText="1"/>
      <protection/>
    </xf>
    <xf numFmtId="0" fontId="2" fillId="0" borderId="21" xfId="54" applyNumberFormat="1" applyFont="1" applyFill="1" applyBorder="1" applyAlignment="1">
      <alignment horizontal="center" vertical="center" wrapText="1"/>
      <protection/>
    </xf>
    <xf numFmtId="0" fontId="59" fillId="0" borderId="0" xfId="54" applyFont="1" applyAlignment="1">
      <alignment horizontal="center" wrapText="1"/>
      <protection/>
    </xf>
    <xf numFmtId="0" fontId="59" fillId="0" borderId="0" xfId="54" applyFont="1" applyAlignment="1">
      <alignment horizontal="center"/>
      <protection/>
    </xf>
    <xf numFmtId="0" fontId="0" fillId="0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left" wrapText="1"/>
      <protection/>
    </xf>
    <xf numFmtId="0" fontId="0" fillId="0" borderId="0" xfId="54" applyFont="1" applyFill="1" applyBorder="1" applyAlignment="1">
      <alignment horizontal="left" wrapText="1"/>
      <protection/>
    </xf>
    <xf numFmtId="0" fontId="0" fillId="0" borderId="0" xfId="54" applyFont="1" applyBorder="1" applyAlignment="1">
      <alignment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" fillId="0" borderId="25" xfId="54" applyNumberFormat="1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>
      <alignment horizontal="center" vertical="center" wrapText="1"/>
      <protection/>
    </xf>
    <xf numFmtId="0" fontId="35" fillId="0" borderId="0" xfId="54" applyFont="1" applyFill="1" applyAlignment="1">
      <alignment horizontal="center" vertical="center"/>
      <protection/>
    </xf>
    <xf numFmtId="17" fontId="107" fillId="24" borderId="0" xfId="54" applyNumberFormat="1" applyFont="1" applyFill="1" applyBorder="1" applyAlignment="1">
      <alignment horizontal="center" vertical="top" wrapText="1"/>
      <protection/>
    </xf>
    <xf numFmtId="0" fontId="0" fillId="26" borderId="66" xfId="54" applyNumberFormat="1" applyFont="1" applyFill="1" applyBorder="1" applyAlignment="1">
      <alignment horizontal="center" vertical="center" wrapText="1"/>
      <protection/>
    </xf>
    <xf numFmtId="0" fontId="0" fillId="26" borderId="67" xfId="54" applyNumberFormat="1" applyFont="1" applyFill="1" applyBorder="1" applyAlignment="1">
      <alignment horizontal="center" vertical="center" wrapText="1"/>
      <protection/>
    </xf>
    <xf numFmtId="0" fontId="0" fillId="26" borderId="21" xfId="54" applyNumberFormat="1" applyFont="1" applyFill="1" applyBorder="1" applyAlignment="1">
      <alignment horizontal="center" vertical="center" wrapText="1"/>
      <protection/>
    </xf>
    <xf numFmtId="0" fontId="0" fillId="0" borderId="16" xfId="54" applyNumberFormat="1" applyFont="1" applyFill="1" applyBorder="1" applyAlignment="1">
      <alignment horizontal="center" vertical="center" wrapText="1"/>
      <protection/>
    </xf>
    <xf numFmtId="0" fontId="0" fillId="0" borderId="75" xfId="54" applyNumberFormat="1" applyFont="1" applyFill="1" applyBorder="1" applyAlignment="1">
      <alignment horizontal="center" vertical="center" wrapText="1"/>
      <protection/>
    </xf>
    <xf numFmtId="0" fontId="0" fillId="0" borderId="76" xfId="54" applyNumberFormat="1" applyFont="1" applyFill="1" applyBorder="1" applyAlignment="1">
      <alignment horizontal="center" vertical="center" wrapText="1"/>
      <protection/>
    </xf>
    <xf numFmtId="0" fontId="0" fillId="26" borderId="16" xfId="54" applyNumberFormat="1" applyFont="1" applyFill="1" applyBorder="1" applyAlignment="1">
      <alignment horizontal="center" vertical="center" wrapText="1"/>
      <protection/>
    </xf>
    <xf numFmtId="0" fontId="0" fillId="26" borderId="75" xfId="54" applyNumberFormat="1" applyFont="1" applyFill="1" applyBorder="1" applyAlignment="1">
      <alignment horizontal="center" vertical="center" wrapText="1"/>
      <protection/>
    </xf>
    <xf numFmtId="0" fontId="0" fillId="26" borderId="76" xfId="54" applyNumberFormat="1" applyFont="1" applyFill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justify" vertical="top" wrapText="1"/>
      <protection/>
    </xf>
    <xf numFmtId="0" fontId="2" fillId="0" borderId="76" xfId="54" applyFont="1" applyBorder="1" applyAlignment="1">
      <alignment horizontal="justify" vertical="top" wrapText="1"/>
      <protection/>
    </xf>
    <xf numFmtId="0" fontId="0" fillId="0" borderId="0" xfId="54" applyNumberFormat="1" applyFont="1" applyFill="1" applyBorder="1" applyAlignment="1">
      <alignment horizontal="center" vertical="top"/>
      <protection/>
    </xf>
    <xf numFmtId="0" fontId="2" fillId="0" borderId="0" xfId="54" applyFont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" fillId="0" borderId="21" xfId="54" applyFont="1" applyBorder="1" applyAlignment="1">
      <alignment vertical="top" wrapText="1"/>
      <protection/>
    </xf>
    <xf numFmtId="0" fontId="2" fillId="0" borderId="22" xfId="54" applyFont="1" applyBorder="1" applyAlignment="1">
      <alignment vertical="top" wrapText="1"/>
      <protection/>
    </xf>
    <xf numFmtId="0" fontId="2" fillId="0" borderId="10" xfId="54" applyFont="1" applyBorder="1" applyAlignment="1">
      <alignment horizontal="justify" vertical="top" wrapText="1"/>
      <protection/>
    </xf>
    <xf numFmtId="0" fontId="2" fillId="0" borderId="11" xfId="54" applyFont="1" applyBorder="1" applyAlignment="1">
      <alignment horizontal="justify" vertical="top" wrapText="1"/>
      <protection/>
    </xf>
    <xf numFmtId="173" fontId="20" fillId="0" borderId="0" xfId="54" applyNumberFormat="1" applyFont="1" applyAlignment="1">
      <alignment horizontal="left" wrapText="1"/>
      <protection/>
    </xf>
    <xf numFmtId="176" fontId="0" fillId="26" borderId="16" xfId="54" applyNumberFormat="1" applyFont="1" applyFill="1" applyBorder="1" applyAlignment="1">
      <alignment horizontal="center" vertical="center" wrapText="1"/>
      <protection/>
    </xf>
    <xf numFmtId="176" fontId="0" fillId="26" borderId="41" xfId="54" applyNumberFormat="1" applyFont="1" applyFill="1" applyBorder="1" applyAlignment="1">
      <alignment horizontal="center" vertical="center" wrapText="1"/>
      <protection/>
    </xf>
    <xf numFmtId="173" fontId="25" fillId="20" borderId="10" xfId="54" applyNumberFormat="1" applyFont="1" applyFill="1" applyBorder="1" applyAlignment="1">
      <alignment horizontal="center" wrapText="1"/>
      <protection/>
    </xf>
    <xf numFmtId="173" fontId="0" fillId="0" borderId="10" xfId="54" applyNumberFormat="1" applyFont="1" applyBorder="1" applyAlignment="1">
      <alignment horizontal="center" wrapText="1"/>
      <protection/>
    </xf>
    <xf numFmtId="9" fontId="0" fillId="0" borderId="10" xfId="54" applyNumberFormat="1" applyFont="1" applyBorder="1" applyAlignment="1">
      <alignment horizontal="center" wrapText="1"/>
      <protection/>
    </xf>
    <xf numFmtId="173" fontId="0" fillId="0" borderId="16" xfId="54" applyNumberFormat="1" applyFont="1" applyBorder="1" applyAlignment="1">
      <alignment horizontal="center" wrapText="1"/>
      <protection/>
    </xf>
    <xf numFmtId="173" fontId="0" fillId="0" borderId="41" xfId="54" applyNumberFormat="1" applyFont="1" applyBorder="1" applyAlignment="1">
      <alignment horizontal="center" wrapText="1"/>
      <protection/>
    </xf>
    <xf numFmtId="176" fontId="98" fillId="26" borderId="16" xfId="54" applyNumberFormat="1" applyFont="1" applyFill="1" applyBorder="1" applyAlignment="1">
      <alignment horizontal="center" vertical="center" wrapText="1"/>
      <protection/>
    </xf>
    <xf numFmtId="176" fontId="98" fillId="26" borderId="41" xfId="54" applyNumberFormat="1" applyFont="1" applyFill="1" applyBorder="1" applyAlignment="1">
      <alignment horizontal="center" vertical="center" wrapText="1"/>
      <protection/>
    </xf>
    <xf numFmtId="176" fontId="98" fillId="26" borderId="16" xfId="54" applyNumberFormat="1" applyFont="1" applyFill="1" applyBorder="1" applyAlignment="1">
      <alignment horizontal="center" wrapText="1"/>
      <protection/>
    </xf>
    <xf numFmtId="176" fontId="98" fillId="26" borderId="41" xfId="54" applyNumberFormat="1" applyFont="1" applyFill="1" applyBorder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0" fontId="37" fillId="0" borderId="10" xfId="54" applyFont="1" applyBorder="1" applyAlignment="1">
      <alignment horizontal="center" vertical="center" wrapText="1"/>
      <protection/>
    </xf>
    <xf numFmtId="0" fontId="64" fillId="0" borderId="0" xfId="54" applyFont="1" applyAlignment="1">
      <alignment horizontal="center" wrapText="1"/>
      <protection/>
    </xf>
    <xf numFmtId="0" fontId="64" fillId="0" borderId="0" xfId="54" applyFont="1" applyAlignment="1">
      <alignment horizontal="center"/>
      <protection/>
    </xf>
    <xf numFmtId="0" fontId="65" fillId="0" borderId="0" xfId="54" applyFont="1" applyAlignment="1">
      <alignment horizontal="center" vertical="center" wrapText="1"/>
      <protection/>
    </xf>
    <xf numFmtId="0" fontId="37" fillId="0" borderId="10" xfId="54" applyFont="1" applyBorder="1" applyAlignment="1">
      <alignment horizontal="center" vertical="center"/>
      <protection/>
    </xf>
    <xf numFmtId="180" fontId="4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vertical="justify"/>
    </xf>
    <xf numFmtId="0" fontId="0" fillId="0" borderId="0" xfId="0" applyFont="1" applyFill="1" applyBorder="1" applyAlignment="1">
      <alignment horizontal="lef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Tarif_2002 год" xfId="57"/>
    <cellStyle name="Обычный_Tarif_97" xfId="58"/>
    <cellStyle name="Обычный_Книга1" xfId="59"/>
    <cellStyle name="Обычный_Тариф-изол.энергоузлы с сокращ,КАО" xfId="60"/>
    <cellStyle name="Обычный_тарифы на 2002г с 1-0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60" zoomScaleNormal="60" zoomScalePageLayoutView="0" workbookViewId="0" topLeftCell="A7">
      <selection activeCell="H43" sqref="H4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132" customWidth="1"/>
    <col min="6" max="6" width="6.125" style="1" bestFit="1" customWidth="1"/>
    <col min="7" max="7" width="12.00390625" style="132" customWidth="1"/>
    <col min="8" max="8" width="6.125" style="1" bestFit="1" customWidth="1"/>
    <col min="9" max="9" width="12.00390625" style="132" customWidth="1"/>
    <col min="10" max="10" width="6.125" style="1" bestFit="1" customWidth="1"/>
    <col min="11" max="11" width="12.00390625" style="132" customWidth="1"/>
    <col min="12" max="12" width="6.125" style="1" bestFit="1" customWidth="1"/>
    <col min="13" max="13" width="12.00390625" style="132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.75">
      <c r="U1" s="3"/>
    </row>
    <row r="2" ht="15.75">
      <c r="U2" s="3" t="s">
        <v>131</v>
      </c>
    </row>
    <row r="3" ht="15.75">
      <c r="U3" s="3" t="s">
        <v>37</v>
      </c>
    </row>
    <row r="4" ht="15.75">
      <c r="U4" s="3" t="s">
        <v>50</v>
      </c>
    </row>
    <row r="5" ht="15.75">
      <c r="U5" s="3"/>
    </row>
    <row r="6" ht="15.75">
      <c r="A6" s="14"/>
    </row>
    <row r="7" spans="1:21" ht="15.75">
      <c r="A7" s="735" t="s">
        <v>149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735"/>
      <c r="U7" s="735"/>
    </row>
    <row r="8" spans="1:21" ht="15.7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</row>
    <row r="9" ht="15.75">
      <c r="U9" s="3" t="s">
        <v>38</v>
      </c>
    </row>
    <row r="10" ht="15.75">
      <c r="U10" s="3" t="s">
        <v>39</v>
      </c>
    </row>
    <row r="11" ht="15.75">
      <c r="U11" s="3"/>
    </row>
    <row r="12" ht="15.75">
      <c r="U12" s="87" t="s">
        <v>40</v>
      </c>
    </row>
    <row r="13" spans="1:21" ht="15.75">
      <c r="A13" s="14"/>
      <c r="U13" s="3" t="s">
        <v>41</v>
      </c>
    </row>
    <row r="14" spans="1:21" ht="15.75">
      <c r="A14" s="14"/>
      <c r="U14" s="3" t="s">
        <v>42</v>
      </c>
    </row>
    <row r="15" ht="16.5" thickBot="1"/>
    <row r="16" spans="1:21" ht="126" customHeight="1">
      <c r="A16" s="736" t="s">
        <v>251</v>
      </c>
      <c r="B16" s="739" t="s">
        <v>274</v>
      </c>
      <c r="C16" s="739" t="s">
        <v>143</v>
      </c>
      <c r="D16" s="739" t="s">
        <v>44</v>
      </c>
      <c r="E16" s="739"/>
      <c r="F16" s="739"/>
      <c r="G16" s="739"/>
      <c r="H16" s="739"/>
      <c r="I16" s="739"/>
      <c r="J16" s="739"/>
      <c r="K16" s="739"/>
      <c r="L16" s="739"/>
      <c r="M16" s="739"/>
      <c r="N16" s="741" t="s">
        <v>145</v>
      </c>
      <c r="O16" s="744" t="s">
        <v>146</v>
      </c>
      <c r="P16" s="745"/>
      <c r="Q16" s="745"/>
      <c r="R16" s="746"/>
      <c r="S16" s="744" t="s">
        <v>107</v>
      </c>
      <c r="T16" s="746"/>
      <c r="U16" s="747" t="s">
        <v>108</v>
      </c>
    </row>
    <row r="17" spans="1:21" ht="31.5" customHeight="1">
      <c r="A17" s="737"/>
      <c r="B17" s="732"/>
      <c r="C17" s="732"/>
      <c r="D17" s="732" t="s">
        <v>254</v>
      </c>
      <c r="E17" s="732"/>
      <c r="F17" s="732" t="s">
        <v>255</v>
      </c>
      <c r="G17" s="732"/>
      <c r="H17" s="732" t="s">
        <v>256</v>
      </c>
      <c r="I17" s="732"/>
      <c r="J17" s="732" t="s">
        <v>257</v>
      </c>
      <c r="K17" s="732"/>
      <c r="L17" s="732" t="s">
        <v>258</v>
      </c>
      <c r="M17" s="732"/>
      <c r="N17" s="742"/>
      <c r="O17" s="732" t="s">
        <v>292</v>
      </c>
      <c r="P17" s="732" t="s">
        <v>349</v>
      </c>
      <c r="Q17" s="732" t="s">
        <v>347</v>
      </c>
      <c r="R17" s="732"/>
      <c r="S17" s="751" t="s">
        <v>291</v>
      </c>
      <c r="T17" s="752"/>
      <c r="U17" s="748"/>
    </row>
    <row r="18" spans="1:21" ht="81.75" customHeight="1" thickBot="1">
      <c r="A18" s="738"/>
      <c r="B18" s="740"/>
      <c r="C18" s="740"/>
      <c r="D18" s="62" t="s">
        <v>139</v>
      </c>
      <c r="E18" s="62" t="s">
        <v>144</v>
      </c>
      <c r="F18" s="62" t="s">
        <v>259</v>
      </c>
      <c r="G18" s="62" t="s">
        <v>109</v>
      </c>
      <c r="H18" s="62" t="s">
        <v>259</v>
      </c>
      <c r="I18" s="62" t="s">
        <v>109</v>
      </c>
      <c r="J18" s="62" t="s">
        <v>259</v>
      </c>
      <c r="K18" s="62" t="s">
        <v>109</v>
      </c>
      <c r="L18" s="62" t="s">
        <v>259</v>
      </c>
      <c r="M18" s="62" t="s">
        <v>109</v>
      </c>
      <c r="N18" s="743"/>
      <c r="O18" s="740"/>
      <c r="P18" s="740"/>
      <c r="Q18" s="62" t="s">
        <v>346</v>
      </c>
      <c r="R18" s="62" t="s">
        <v>348</v>
      </c>
      <c r="S18" s="128" t="s">
        <v>147</v>
      </c>
      <c r="T18" s="128" t="s">
        <v>110</v>
      </c>
      <c r="U18" s="749"/>
    </row>
    <row r="19" spans="1:21" ht="15.75">
      <c r="A19" s="48"/>
      <c r="B19" s="49" t="s">
        <v>275</v>
      </c>
      <c r="C19" s="49"/>
      <c r="D19" s="49"/>
      <c r="E19" s="55"/>
      <c r="F19" s="49"/>
      <c r="G19" s="49"/>
      <c r="H19" s="55"/>
      <c r="I19" s="55"/>
      <c r="J19" s="49"/>
      <c r="K19" s="49"/>
      <c r="L19" s="55"/>
      <c r="M19" s="55"/>
      <c r="N19" s="55"/>
      <c r="O19" s="55"/>
      <c r="P19" s="55"/>
      <c r="Q19" s="55"/>
      <c r="R19" s="55"/>
      <c r="S19" s="129"/>
      <c r="T19" s="129"/>
      <c r="U19" s="56"/>
    </row>
    <row r="20" spans="1:21" ht="31.5">
      <c r="A20" s="25" t="s">
        <v>237</v>
      </c>
      <c r="B20" s="24" t="s">
        <v>354</v>
      </c>
      <c r="C20" s="24"/>
      <c r="D20" s="24"/>
      <c r="E20" s="24"/>
      <c r="F20" s="24"/>
      <c r="G20" s="24"/>
      <c r="H20" s="24"/>
      <c r="I20" s="24"/>
      <c r="J20" s="24"/>
      <c r="K20" s="24"/>
      <c r="L20" s="5"/>
      <c r="M20" s="5"/>
      <c r="N20" s="5"/>
      <c r="O20" s="5"/>
      <c r="P20" s="5"/>
      <c r="Q20" s="5"/>
      <c r="R20" s="5"/>
      <c r="S20" s="34"/>
      <c r="T20" s="34"/>
      <c r="U20" s="6"/>
    </row>
    <row r="21" spans="1:21" ht="31.5">
      <c r="A21" s="66" t="s">
        <v>238</v>
      </c>
      <c r="B21" s="24" t="s">
        <v>351</v>
      </c>
      <c r="C21" s="24"/>
      <c r="D21" s="24"/>
      <c r="E21" s="24"/>
      <c r="F21" s="24"/>
      <c r="G21" s="24"/>
      <c r="H21" s="24"/>
      <c r="I21" s="24"/>
      <c r="J21" s="24"/>
      <c r="K21" s="24"/>
      <c r="L21" s="5"/>
      <c r="M21" s="5"/>
      <c r="N21" s="5"/>
      <c r="O21" s="5"/>
      <c r="P21" s="5"/>
      <c r="Q21" s="5"/>
      <c r="R21" s="5"/>
      <c r="S21" s="34"/>
      <c r="T21" s="34"/>
      <c r="U21" s="6"/>
    </row>
    <row r="22" spans="1:21" ht="15.75">
      <c r="A22" s="16">
        <v>1</v>
      </c>
      <c r="B22" s="4" t="s">
        <v>276</v>
      </c>
      <c r="C22" s="4"/>
      <c r="D22" s="4"/>
      <c r="E22" s="5"/>
      <c r="F22" s="4"/>
      <c r="G22" s="5"/>
      <c r="H22" s="4"/>
      <c r="I22" s="5"/>
      <c r="J22" s="4"/>
      <c r="K22" s="5"/>
      <c r="L22" s="5"/>
      <c r="M22" s="5"/>
      <c r="N22" s="5"/>
      <c r="O22" s="5"/>
      <c r="P22" s="5"/>
      <c r="Q22" s="5"/>
      <c r="R22" s="5"/>
      <c r="S22" s="34"/>
      <c r="T22" s="34"/>
      <c r="U22" s="6"/>
    </row>
    <row r="23" spans="1:21" ht="15.75">
      <c r="A23" s="16">
        <v>2</v>
      </c>
      <c r="B23" s="4" t="s">
        <v>278</v>
      </c>
      <c r="C23" s="4"/>
      <c r="D23" s="4"/>
      <c r="E23" s="5"/>
      <c r="F23" s="4"/>
      <c r="G23" s="5"/>
      <c r="H23" s="4"/>
      <c r="I23" s="5"/>
      <c r="J23" s="4"/>
      <c r="K23" s="5"/>
      <c r="L23" s="5"/>
      <c r="M23" s="5"/>
      <c r="N23" s="5"/>
      <c r="O23" s="5"/>
      <c r="P23" s="5"/>
      <c r="Q23" s="5"/>
      <c r="R23" s="5"/>
      <c r="S23" s="34"/>
      <c r="T23" s="34"/>
      <c r="U23" s="6"/>
    </row>
    <row r="24" spans="1:21" ht="15.75">
      <c r="A24" s="57" t="s">
        <v>277</v>
      </c>
      <c r="B24" s="10"/>
      <c r="C24" s="10"/>
      <c r="D24" s="10"/>
      <c r="E24" s="58"/>
      <c r="F24" s="10"/>
      <c r="G24" s="58"/>
      <c r="H24" s="10"/>
      <c r="I24" s="58"/>
      <c r="J24" s="10"/>
      <c r="K24" s="58"/>
      <c r="L24" s="58"/>
      <c r="M24" s="58"/>
      <c r="N24" s="58"/>
      <c r="O24" s="58"/>
      <c r="P24" s="58"/>
      <c r="Q24" s="58"/>
      <c r="R24" s="58"/>
      <c r="S24" s="130"/>
      <c r="T24" s="130"/>
      <c r="U24" s="59"/>
    </row>
    <row r="25" spans="1:21" ht="31.5">
      <c r="A25" s="61" t="s">
        <v>239</v>
      </c>
      <c r="B25" s="60" t="s">
        <v>35</v>
      </c>
      <c r="C25" s="60"/>
      <c r="D25" s="10"/>
      <c r="E25" s="58"/>
      <c r="F25" s="10"/>
      <c r="G25" s="58"/>
      <c r="H25" s="10"/>
      <c r="I25" s="58"/>
      <c r="J25" s="10"/>
      <c r="K25" s="58"/>
      <c r="L25" s="58"/>
      <c r="M25" s="58"/>
      <c r="N25" s="58"/>
      <c r="O25" s="58"/>
      <c r="P25" s="58"/>
      <c r="Q25" s="58"/>
      <c r="R25" s="58"/>
      <c r="S25" s="130"/>
      <c r="T25" s="130"/>
      <c r="U25" s="59"/>
    </row>
    <row r="26" spans="1:21" ht="15.75">
      <c r="A26" s="16">
        <v>1</v>
      </c>
      <c r="B26" s="4" t="s">
        <v>276</v>
      </c>
      <c r="C26" s="10"/>
      <c r="D26" s="10"/>
      <c r="E26" s="58"/>
      <c r="F26" s="10"/>
      <c r="G26" s="58"/>
      <c r="H26" s="10"/>
      <c r="I26" s="58"/>
      <c r="J26" s="10"/>
      <c r="K26" s="58"/>
      <c r="L26" s="58"/>
      <c r="M26" s="58"/>
      <c r="N26" s="58"/>
      <c r="O26" s="58"/>
      <c r="P26" s="58"/>
      <c r="Q26" s="58"/>
      <c r="R26" s="58"/>
      <c r="S26" s="130"/>
      <c r="T26" s="130"/>
      <c r="U26" s="59"/>
    </row>
    <row r="27" spans="1:21" ht="15.75">
      <c r="A27" s="16">
        <v>2</v>
      </c>
      <c r="B27" s="4" t="s">
        <v>278</v>
      </c>
      <c r="C27" s="10"/>
      <c r="D27" s="10"/>
      <c r="E27" s="58"/>
      <c r="F27" s="10"/>
      <c r="G27" s="58"/>
      <c r="H27" s="10"/>
      <c r="I27" s="58"/>
      <c r="J27" s="10"/>
      <c r="K27" s="58"/>
      <c r="L27" s="58"/>
      <c r="M27" s="58"/>
      <c r="N27" s="58"/>
      <c r="O27" s="58"/>
      <c r="P27" s="58"/>
      <c r="Q27" s="58"/>
      <c r="R27" s="58"/>
      <c r="S27" s="130"/>
      <c r="T27" s="130"/>
      <c r="U27" s="59"/>
    </row>
    <row r="28" spans="1:21" ht="15.75">
      <c r="A28" s="57" t="s">
        <v>277</v>
      </c>
      <c r="B28" s="10"/>
      <c r="C28" s="10"/>
      <c r="D28" s="10"/>
      <c r="E28" s="58"/>
      <c r="F28" s="10"/>
      <c r="G28" s="58"/>
      <c r="H28" s="10"/>
      <c r="I28" s="58"/>
      <c r="J28" s="10"/>
      <c r="K28" s="58"/>
      <c r="L28" s="58"/>
      <c r="M28" s="58"/>
      <c r="N28" s="58"/>
      <c r="O28" s="58"/>
      <c r="P28" s="58"/>
      <c r="Q28" s="58"/>
      <c r="R28" s="58"/>
      <c r="S28" s="130"/>
      <c r="T28" s="130"/>
      <c r="U28" s="59"/>
    </row>
    <row r="29" spans="1:21" ht="31.5">
      <c r="A29" s="61" t="s">
        <v>250</v>
      </c>
      <c r="B29" s="60" t="s">
        <v>352</v>
      </c>
      <c r="C29" s="60"/>
      <c r="D29" s="10"/>
      <c r="E29" s="58"/>
      <c r="F29" s="10"/>
      <c r="G29" s="58"/>
      <c r="H29" s="10"/>
      <c r="I29" s="58"/>
      <c r="J29" s="10"/>
      <c r="K29" s="58"/>
      <c r="L29" s="58"/>
      <c r="M29" s="58"/>
      <c r="N29" s="58"/>
      <c r="O29" s="58"/>
      <c r="P29" s="58"/>
      <c r="Q29" s="58"/>
      <c r="R29" s="58"/>
      <c r="S29" s="130"/>
      <c r="T29" s="130"/>
      <c r="U29" s="59"/>
    </row>
    <row r="30" spans="1:21" ht="15.75">
      <c r="A30" s="57">
        <v>1</v>
      </c>
      <c r="B30" s="10" t="s">
        <v>276</v>
      </c>
      <c r="C30" s="10"/>
      <c r="D30" s="10"/>
      <c r="E30" s="58"/>
      <c r="F30" s="10"/>
      <c r="G30" s="58"/>
      <c r="H30" s="10"/>
      <c r="I30" s="58"/>
      <c r="J30" s="10"/>
      <c r="K30" s="58"/>
      <c r="L30" s="58"/>
      <c r="M30" s="58"/>
      <c r="N30" s="58"/>
      <c r="O30" s="58"/>
      <c r="P30" s="58"/>
      <c r="Q30" s="58"/>
      <c r="R30" s="58"/>
      <c r="S30" s="130"/>
      <c r="T30" s="130"/>
      <c r="U30" s="59"/>
    </row>
    <row r="31" spans="1:21" ht="15.75">
      <c r="A31" s="57">
        <v>2</v>
      </c>
      <c r="B31" s="10" t="s">
        <v>278</v>
      </c>
      <c r="C31" s="10"/>
      <c r="D31" s="10"/>
      <c r="E31" s="58"/>
      <c r="F31" s="10"/>
      <c r="G31" s="58"/>
      <c r="H31" s="10"/>
      <c r="I31" s="58"/>
      <c r="J31" s="10"/>
      <c r="K31" s="58"/>
      <c r="L31" s="58"/>
      <c r="M31" s="58"/>
      <c r="N31" s="58"/>
      <c r="O31" s="58"/>
      <c r="P31" s="58"/>
      <c r="Q31" s="58"/>
      <c r="R31" s="58"/>
      <c r="S31" s="130"/>
      <c r="T31" s="130"/>
      <c r="U31" s="59"/>
    </row>
    <row r="32" spans="1:21" ht="15.75">
      <c r="A32" s="57" t="s">
        <v>277</v>
      </c>
      <c r="B32" s="10"/>
      <c r="C32" s="10"/>
      <c r="D32" s="10"/>
      <c r="E32" s="58"/>
      <c r="F32" s="10"/>
      <c r="G32" s="58"/>
      <c r="H32" s="10"/>
      <c r="I32" s="58"/>
      <c r="J32" s="10"/>
      <c r="K32" s="58"/>
      <c r="L32" s="58"/>
      <c r="M32" s="58"/>
      <c r="N32" s="58"/>
      <c r="O32" s="58"/>
      <c r="P32" s="58"/>
      <c r="Q32" s="58"/>
      <c r="R32" s="58"/>
      <c r="S32" s="130"/>
      <c r="T32" s="130"/>
      <c r="U32" s="59"/>
    </row>
    <row r="33" spans="1:21" ht="47.25">
      <c r="A33" s="61" t="s">
        <v>267</v>
      </c>
      <c r="B33" s="60" t="s">
        <v>353</v>
      </c>
      <c r="C33" s="10"/>
      <c r="D33" s="10"/>
      <c r="E33" s="58"/>
      <c r="F33" s="10"/>
      <c r="G33" s="58"/>
      <c r="H33" s="10"/>
      <c r="I33" s="58"/>
      <c r="J33" s="10"/>
      <c r="K33" s="58"/>
      <c r="L33" s="58"/>
      <c r="M33" s="58"/>
      <c r="N33" s="58"/>
      <c r="O33" s="58"/>
      <c r="P33" s="58"/>
      <c r="Q33" s="58"/>
      <c r="R33" s="58"/>
      <c r="S33" s="130"/>
      <c r="T33" s="130"/>
      <c r="U33" s="59"/>
    </row>
    <row r="34" spans="1:21" ht="15.75">
      <c r="A34" s="57">
        <v>1</v>
      </c>
      <c r="B34" s="10" t="s">
        <v>276</v>
      </c>
      <c r="C34" s="10"/>
      <c r="D34" s="10"/>
      <c r="E34" s="58"/>
      <c r="F34" s="10"/>
      <c r="G34" s="58"/>
      <c r="H34" s="10"/>
      <c r="I34" s="58"/>
      <c r="J34" s="10"/>
      <c r="K34" s="58"/>
      <c r="L34" s="58"/>
      <c r="M34" s="58"/>
      <c r="N34" s="58"/>
      <c r="O34" s="58"/>
      <c r="P34" s="58"/>
      <c r="Q34" s="58"/>
      <c r="R34" s="58"/>
      <c r="S34" s="130"/>
      <c r="T34" s="130"/>
      <c r="U34" s="59"/>
    </row>
    <row r="35" spans="1:21" ht="15.75">
      <c r="A35" s="57">
        <v>2</v>
      </c>
      <c r="B35" s="10" t="s">
        <v>278</v>
      </c>
      <c r="C35" s="10"/>
      <c r="D35" s="10"/>
      <c r="E35" s="58"/>
      <c r="F35" s="10"/>
      <c r="G35" s="58"/>
      <c r="H35" s="10"/>
      <c r="I35" s="58"/>
      <c r="J35" s="10"/>
      <c r="K35" s="58"/>
      <c r="L35" s="58"/>
      <c r="M35" s="58"/>
      <c r="N35" s="58"/>
      <c r="O35" s="58"/>
      <c r="P35" s="58"/>
      <c r="Q35" s="58"/>
      <c r="R35" s="58"/>
      <c r="S35" s="130"/>
      <c r="T35" s="130"/>
      <c r="U35" s="59"/>
    </row>
    <row r="36" spans="1:21" ht="15.75">
      <c r="A36" s="57" t="s">
        <v>277</v>
      </c>
      <c r="B36" s="10"/>
      <c r="C36" s="10"/>
      <c r="D36" s="10"/>
      <c r="E36" s="58"/>
      <c r="F36" s="10"/>
      <c r="G36" s="58"/>
      <c r="H36" s="10"/>
      <c r="I36" s="58"/>
      <c r="J36" s="10"/>
      <c r="K36" s="58"/>
      <c r="L36" s="58"/>
      <c r="M36" s="58"/>
      <c r="N36" s="58"/>
      <c r="O36" s="58"/>
      <c r="P36" s="58"/>
      <c r="Q36" s="58"/>
      <c r="R36" s="58"/>
      <c r="S36" s="130"/>
      <c r="T36" s="130"/>
      <c r="U36" s="59"/>
    </row>
    <row r="37" spans="1:21" ht="15.75">
      <c r="A37" s="25" t="s">
        <v>240</v>
      </c>
      <c r="B37" s="24" t="s">
        <v>288</v>
      </c>
      <c r="C37" s="24"/>
      <c r="D37" s="24"/>
      <c r="E37" s="24"/>
      <c r="F37" s="24"/>
      <c r="G37" s="24"/>
      <c r="H37" s="24"/>
      <c r="I37" s="24"/>
      <c r="J37" s="24"/>
      <c r="K37" s="24"/>
      <c r="L37" s="5"/>
      <c r="M37" s="5"/>
      <c r="N37" s="5"/>
      <c r="O37" s="5"/>
      <c r="P37" s="5"/>
      <c r="Q37" s="5"/>
      <c r="R37" s="5"/>
      <c r="S37" s="34"/>
      <c r="T37" s="34"/>
      <c r="U37" s="6"/>
    </row>
    <row r="38" spans="1:21" ht="31.5">
      <c r="A38" s="66" t="s">
        <v>241</v>
      </c>
      <c r="B38" s="24" t="s">
        <v>351</v>
      </c>
      <c r="C38" s="24"/>
      <c r="D38" s="24"/>
      <c r="E38" s="24"/>
      <c r="F38" s="24"/>
      <c r="G38" s="24"/>
      <c r="H38" s="24"/>
      <c r="I38" s="24"/>
      <c r="J38" s="24"/>
      <c r="K38" s="24"/>
      <c r="L38" s="5"/>
      <c r="M38" s="5"/>
      <c r="N38" s="5"/>
      <c r="O38" s="5"/>
      <c r="P38" s="5"/>
      <c r="Q38" s="5"/>
      <c r="R38" s="5"/>
      <c r="S38" s="34"/>
      <c r="T38" s="34"/>
      <c r="U38" s="6"/>
    </row>
    <row r="39" spans="1:21" ht="15.75">
      <c r="A39" s="16">
        <v>1</v>
      </c>
      <c r="B39" s="4" t="s">
        <v>276</v>
      </c>
      <c r="C39" s="24"/>
      <c r="D39" s="24"/>
      <c r="E39" s="24"/>
      <c r="F39" s="24"/>
      <c r="G39" s="24"/>
      <c r="H39" s="24"/>
      <c r="I39" s="24"/>
      <c r="J39" s="24"/>
      <c r="K39" s="24"/>
      <c r="L39" s="5"/>
      <c r="M39" s="5"/>
      <c r="N39" s="5"/>
      <c r="O39" s="5"/>
      <c r="P39" s="5"/>
      <c r="Q39" s="5"/>
      <c r="R39" s="5"/>
      <c r="S39" s="34"/>
      <c r="T39" s="34"/>
      <c r="U39" s="6"/>
    </row>
    <row r="40" spans="1:21" ht="15.75">
      <c r="A40" s="16">
        <v>2</v>
      </c>
      <c r="B40" s="4" t="s">
        <v>278</v>
      </c>
      <c r="C40" s="24"/>
      <c r="D40" s="24"/>
      <c r="E40" s="24"/>
      <c r="F40" s="24"/>
      <c r="G40" s="24"/>
      <c r="H40" s="24"/>
      <c r="I40" s="24"/>
      <c r="J40" s="24"/>
      <c r="K40" s="24"/>
      <c r="L40" s="5"/>
      <c r="M40" s="5"/>
      <c r="N40" s="5"/>
      <c r="O40" s="5"/>
      <c r="P40" s="5"/>
      <c r="Q40" s="5"/>
      <c r="R40" s="5"/>
      <c r="S40" s="34"/>
      <c r="T40" s="34"/>
      <c r="U40" s="6"/>
    </row>
    <row r="41" spans="1:21" ht="15.75">
      <c r="A41" s="57" t="s">
        <v>277</v>
      </c>
      <c r="B41" s="10"/>
      <c r="C41" s="24"/>
      <c r="D41" s="24"/>
      <c r="E41" s="24"/>
      <c r="F41" s="24"/>
      <c r="G41" s="24"/>
      <c r="H41" s="24"/>
      <c r="I41" s="24"/>
      <c r="J41" s="24"/>
      <c r="K41" s="24"/>
      <c r="L41" s="5"/>
      <c r="M41" s="5"/>
      <c r="N41" s="5"/>
      <c r="O41" s="5"/>
      <c r="P41" s="5"/>
      <c r="Q41" s="5"/>
      <c r="R41" s="5"/>
      <c r="S41" s="34"/>
      <c r="T41" s="34"/>
      <c r="U41" s="6"/>
    </row>
    <row r="42" spans="1:21" ht="15.75">
      <c r="A42" s="88" t="s">
        <v>242</v>
      </c>
      <c r="B42" s="89" t="s">
        <v>43</v>
      </c>
      <c r="C42" s="24"/>
      <c r="D42" s="24"/>
      <c r="E42" s="24"/>
      <c r="F42" s="24"/>
      <c r="G42" s="24"/>
      <c r="H42" s="24"/>
      <c r="I42" s="24"/>
      <c r="J42" s="24"/>
      <c r="K42" s="24"/>
      <c r="L42" s="5"/>
      <c r="M42" s="5"/>
      <c r="N42" s="5"/>
      <c r="O42" s="5"/>
      <c r="P42" s="5"/>
      <c r="Q42" s="5"/>
      <c r="R42" s="5"/>
      <c r="S42" s="34"/>
      <c r="T42" s="34"/>
      <c r="U42" s="6"/>
    </row>
    <row r="43" spans="1:21" ht="15.75">
      <c r="A43" s="16">
        <v>1</v>
      </c>
      <c r="B43" s="4" t="s">
        <v>276</v>
      </c>
      <c r="C43" s="24"/>
      <c r="D43" s="24"/>
      <c r="E43" s="24"/>
      <c r="F43" s="24"/>
      <c r="G43" s="24"/>
      <c r="H43" s="24"/>
      <c r="I43" s="24"/>
      <c r="J43" s="24"/>
      <c r="K43" s="24"/>
      <c r="L43" s="5"/>
      <c r="M43" s="5"/>
      <c r="N43" s="5"/>
      <c r="O43" s="5"/>
      <c r="P43" s="5"/>
      <c r="Q43" s="5"/>
      <c r="R43" s="5"/>
      <c r="S43" s="34"/>
      <c r="T43" s="34"/>
      <c r="U43" s="6"/>
    </row>
    <row r="44" spans="1:21" ht="15.75">
      <c r="A44" s="16"/>
      <c r="B44" s="4" t="s">
        <v>362</v>
      </c>
      <c r="C44" s="24"/>
      <c r="D44" s="24"/>
      <c r="E44" s="24"/>
      <c r="F44" s="24"/>
      <c r="G44" s="24"/>
      <c r="H44" s="24"/>
      <c r="I44" s="24"/>
      <c r="J44" s="24"/>
      <c r="K44" s="24"/>
      <c r="L44" s="5"/>
      <c r="M44" s="5"/>
      <c r="N44" s="5"/>
      <c r="O44" s="5"/>
      <c r="P44" s="5"/>
      <c r="Q44" s="5"/>
      <c r="R44" s="5"/>
      <c r="S44" s="34"/>
      <c r="T44" s="34"/>
      <c r="U44" s="6"/>
    </row>
    <row r="45" spans="1:21" ht="15.75">
      <c r="A45" s="16">
        <v>2</v>
      </c>
      <c r="B45" s="4" t="s">
        <v>278</v>
      </c>
      <c r="C45" s="24"/>
      <c r="D45" s="24"/>
      <c r="E45" s="24"/>
      <c r="F45" s="24"/>
      <c r="G45" s="24"/>
      <c r="H45" s="24"/>
      <c r="I45" s="24"/>
      <c r="J45" s="24"/>
      <c r="K45" s="24"/>
      <c r="L45" s="5"/>
      <c r="M45" s="5"/>
      <c r="N45" s="5"/>
      <c r="O45" s="5"/>
      <c r="P45" s="5"/>
      <c r="Q45" s="5"/>
      <c r="R45" s="5"/>
      <c r="S45" s="34"/>
      <c r="T45" s="34"/>
      <c r="U45" s="6"/>
    </row>
    <row r="46" spans="1:21" ht="15.75">
      <c r="A46" s="16"/>
      <c r="B46" s="4" t="s">
        <v>362</v>
      </c>
      <c r="C46" s="4"/>
      <c r="D46" s="4"/>
      <c r="E46" s="5"/>
      <c r="F46" s="4"/>
      <c r="G46" s="5"/>
      <c r="H46" s="4"/>
      <c r="I46" s="5"/>
      <c r="J46" s="4"/>
      <c r="K46" s="5"/>
      <c r="L46" s="5"/>
      <c r="M46" s="5"/>
      <c r="N46" s="5"/>
      <c r="O46" s="5"/>
      <c r="P46" s="5"/>
      <c r="Q46" s="5"/>
      <c r="R46" s="5"/>
      <c r="S46" s="34"/>
      <c r="T46" s="34"/>
      <c r="U46" s="6"/>
    </row>
    <row r="47" spans="1:21" ht="15.75">
      <c r="A47" s="16" t="s">
        <v>277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4"/>
      <c r="T47" s="34"/>
      <c r="U47" s="6"/>
    </row>
    <row r="48" spans="1:21" ht="15.75">
      <c r="A48" s="733" t="s">
        <v>329</v>
      </c>
      <c r="B48" s="734"/>
      <c r="C48" s="10"/>
      <c r="D48" s="10"/>
      <c r="E48" s="58"/>
      <c r="F48" s="10"/>
      <c r="G48" s="58"/>
      <c r="H48" s="10"/>
      <c r="I48" s="58"/>
      <c r="J48" s="10"/>
      <c r="K48" s="58"/>
      <c r="L48" s="58"/>
      <c r="M48" s="58"/>
      <c r="N48" s="58"/>
      <c r="O48" s="58"/>
      <c r="P48" s="58"/>
      <c r="Q48" s="58"/>
      <c r="R48" s="58"/>
      <c r="S48" s="130"/>
      <c r="T48" s="130"/>
      <c r="U48" s="59"/>
    </row>
    <row r="49" spans="1:21" ht="31.5">
      <c r="A49" s="61"/>
      <c r="B49" s="60" t="s">
        <v>350</v>
      </c>
      <c r="C49" s="60"/>
      <c r="D49" s="10"/>
      <c r="E49" s="58"/>
      <c r="F49" s="10"/>
      <c r="G49" s="58"/>
      <c r="H49" s="10"/>
      <c r="I49" s="58"/>
      <c r="J49" s="10"/>
      <c r="K49" s="58"/>
      <c r="L49" s="58"/>
      <c r="M49" s="58"/>
      <c r="N49" s="58"/>
      <c r="O49" s="58"/>
      <c r="P49" s="58"/>
      <c r="Q49" s="58"/>
      <c r="R49" s="58"/>
      <c r="S49" s="130"/>
      <c r="T49" s="130"/>
      <c r="U49" s="59"/>
    </row>
    <row r="50" spans="1:21" ht="15.75">
      <c r="A50" s="57">
        <v>1</v>
      </c>
      <c r="B50" s="10" t="s">
        <v>276</v>
      </c>
      <c r="C50" s="10"/>
      <c r="D50" s="10"/>
      <c r="E50" s="58"/>
      <c r="F50" s="10"/>
      <c r="G50" s="58"/>
      <c r="H50" s="10"/>
      <c r="I50" s="58"/>
      <c r="J50" s="10"/>
      <c r="K50" s="58"/>
      <c r="L50" s="58"/>
      <c r="M50" s="58"/>
      <c r="N50" s="58"/>
      <c r="O50" s="58"/>
      <c r="P50" s="58"/>
      <c r="Q50" s="58"/>
      <c r="R50" s="58"/>
      <c r="S50" s="130"/>
      <c r="T50" s="130"/>
      <c r="U50" s="59"/>
    </row>
    <row r="51" spans="1:21" ht="15.75">
      <c r="A51" s="57">
        <v>2</v>
      </c>
      <c r="B51" s="10" t="s">
        <v>278</v>
      </c>
      <c r="C51" s="10"/>
      <c r="D51" s="10"/>
      <c r="E51" s="58"/>
      <c r="F51" s="10"/>
      <c r="G51" s="58"/>
      <c r="H51" s="10"/>
      <c r="I51" s="58"/>
      <c r="J51" s="10"/>
      <c r="K51" s="58"/>
      <c r="L51" s="58"/>
      <c r="M51" s="58"/>
      <c r="N51" s="58"/>
      <c r="O51" s="58"/>
      <c r="P51" s="58"/>
      <c r="Q51" s="58"/>
      <c r="R51" s="58"/>
      <c r="S51" s="130"/>
      <c r="T51" s="130"/>
      <c r="U51" s="59"/>
    </row>
    <row r="52" spans="1:21" ht="16.5" thickBot="1">
      <c r="A52" s="52" t="s">
        <v>277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131"/>
      <c r="T52" s="131"/>
      <c r="U52" s="54"/>
    </row>
    <row r="53" spans="1:21" ht="15.75">
      <c r="A53" s="50"/>
      <c r="B53" s="50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5.75">
      <c r="A54" s="50"/>
      <c r="B54" s="750" t="s">
        <v>142</v>
      </c>
      <c r="C54" s="750"/>
      <c r="D54" s="750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5.75">
      <c r="A55" s="50"/>
      <c r="B55" s="51" t="s">
        <v>140</v>
      </c>
      <c r="C55" s="3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5.75">
      <c r="A56" s="50"/>
      <c r="B56" s="750" t="s">
        <v>141</v>
      </c>
      <c r="C56" s="750"/>
      <c r="D56" s="750"/>
      <c r="E56" s="750"/>
      <c r="F56" s="7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5.75">
      <c r="A57" s="26"/>
      <c r="B57" s="1" t="s">
        <v>148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5.75">
      <c r="A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5.75">
      <c r="A59" s="26"/>
      <c r="B59" s="731" t="s">
        <v>48</v>
      </c>
      <c r="C59" s="731"/>
      <c r="D59" s="731"/>
      <c r="E59" s="731"/>
      <c r="F59" s="731"/>
      <c r="G59" s="731"/>
      <c r="H59" s="731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5.75">
      <c r="A60" s="26"/>
      <c r="B60" s="1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ht="15.75">
      <c r="A62" s="12"/>
    </row>
    <row r="63" spans="1:9" ht="15.75">
      <c r="A63" s="18"/>
      <c r="C63" s="19"/>
      <c r="G63" s="28"/>
      <c r="H63" s="20"/>
      <c r="I63" s="28"/>
    </row>
    <row r="64" spans="4:21" ht="15.75">
      <c r="D64" s="22"/>
      <c r="G64" s="21"/>
      <c r="I64" s="21"/>
      <c r="J64" s="21"/>
      <c r="K64" s="21"/>
      <c r="M64" s="28"/>
      <c r="N64" s="28"/>
      <c r="O64" s="28"/>
      <c r="P64" s="28"/>
      <c r="Q64" s="28"/>
      <c r="R64" s="28"/>
      <c r="S64" s="28"/>
      <c r="T64" s="28"/>
      <c r="U64" s="20"/>
    </row>
    <row r="65" spans="1:9" ht="15.75">
      <c r="A65" s="15"/>
      <c r="D65" s="14"/>
      <c r="I65" s="127"/>
    </row>
  </sheetData>
  <sheetProtection/>
  <mergeCells count="22">
    <mergeCell ref="O17:O18"/>
    <mergeCell ref="U16:U18"/>
    <mergeCell ref="B56:F56"/>
    <mergeCell ref="B54:D54"/>
    <mergeCell ref="S17:T17"/>
    <mergeCell ref="P17:P18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B59:H59"/>
    <mergeCell ref="F17:G17"/>
    <mergeCell ref="H17:I17"/>
    <mergeCell ref="J17:K17"/>
    <mergeCell ref="D17:E17"/>
    <mergeCell ref="A48:B48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7"/>
  <sheetViews>
    <sheetView view="pageBreakPreview" zoomScale="75" zoomScaleNormal="90" zoomScaleSheetLayoutView="75" zoomScalePageLayoutView="0" workbookViewId="0" topLeftCell="A1">
      <selection activeCell="C10" sqref="C10"/>
    </sheetView>
  </sheetViews>
  <sheetFormatPr defaultColWidth="9.00390625" defaultRowHeight="15.75" outlineLevelRow="1"/>
  <cols>
    <col min="1" max="1" width="57.875" style="324" customWidth="1"/>
    <col min="2" max="2" width="58.125" style="324" customWidth="1"/>
    <col min="3" max="3" width="19.125" style="670" customWidth="1"/>
    <col min="4" max="4" width="31.75390625" style="667" customWidth="1"/>
    <col min="5" max="5" width="9.75390625" style="700" bestFit="1" customWidth="1"/>
    <col min="6" max="10" width="9.00390625" style="700" customWidth="1"/>
    <col min="11" max="16384" width="9.00390625" style="326" customWidth="1"/>
  </cols>
  <sheetData>
    <row r="1" ht="15.75" outlineLevel="1">
      <c r="B1" s="325" t="s">
        <v>407</v>
      </c>
    </row>
    <row r="2" ht="15.75" outlineLevel="1">
      <c r="B2" s="325" t="s">
        <v>37</v>
      </c>
    </row>
    <row r="3" ht="15.75" outlineLevel="1">
      <c r="B3" s="303" t="s">
        <v>379</v>
      </c>
    </row>
    <row r="4" ht="15.75" outlineLevel="1">
      <c r="B4" s="327"/>
    </row>
    <row r="5" ht="15.75" outlineLevel="1">
      <c r="B5" s="3" t="s">
        <v>38</v>
      </c>
    </row>
    <row r="6" ht="15.75" outlineLevel="1">
      <c r="B6" s="3" t="s">
        <v>698</v>
      </c>
    </row>
    <row r="7" ht="15.75" outlineLevel="1">
      <c r="B7" s="3"/>
    </row>
    <row r="8" ht="15.75" outlineLevel="1">
      <c r="B8" s="3" t="s">
        <v>667</v>
      </c>
    </row>
    <row r="9" ht="15.75" outlineLevel="1">
      <c r="B9" s="3" t="s">
        <v>748</v>
      </c>
    </row>
    <row r="10" ht="15.75" outlineLevel="1">
      <c r="B10" s="3" t="s">
        <v>42</v>
      </c>
    </row>
    <row r="11" ht="15.75" outlineLevel="1">
      <c r="B11" s="328"/>
    </row>
    <row r="12" ht="15.75" outlineLevel="1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">
        <v>683</v>
      </c>
      <c r="B14" s="824"/>
    </row>
    <row r="15" ht="16.5" thickBot="1">
      <c r="B15" s="329"/>
    </row>
    <row r="16" spans="1:6" ht="29.25" thickBot="1">
      <c r="A16" s="546" t="s">
        <v>274</v>
      </c>
      <c r="B16" s="521" t="s">
        <v>383</v>
      </c>
      <c r="D16" s="670"/>
      <c r="E16" s="701"/>
      <c r="F16" s="701"/>
    </row>
    <row r="17" spans="1:6" ht="16.5" thickBot="1">
      <c r="A17" s="546" t="s">
        <v>408</v>
      </c>
      <c r="B17" s="522" t="s">
        <v>486</v>
      </c>
      <c r="D17" s="670"/>
      <c r="E17" s="701"/>
      <c r="F17" s="701"/>
    </row>
    <row r="18" spans="1:6" ht="16.5" thickBot="1">
      <c r="A18" s="546" t="s">
        <v>409</v>
      </c>
      <c r="B18" s="523" t="s">
        <v>487</v>
      </c>
      <c r="D18" s="670"/>
      <c r="E18" s="701"/>
      <c r="F18" s="701"/>
    </row>
    <row r="19" spans="1:6" ht="16.5" thickBot="1">
      <c r="A19" s="546" t="s">
        <v>410</v>
      </c>
      <c r="B19" s="620" t="s">
        <v>488</v>
      </c>
      <c r="D19" s="670"/>
      <c r="E19" s="701"/>
      <c r="F19" s="701"/>
    </row>
    <row r="20" spans="1:6" ht="16.5" thickBot="1">
      <c r="A20" s="547" t="s">
        <v>411</v>
      </c>
      <c r="B20" s="621" t="s">
        <v>489</v>
      </c>
      <c r="D20" s="670"/>
      <c r="E20" s="701"/>
      <c r="F20" s="701"/>
    </row>
    <row r="21" spans="1:6" ht="30.75" thickBot="1">
      <c r="A21" s="548" t="s">
        <v>412</v>
      </c>
      <c r="B21" s="524" t="s">
        <v>603</v>
      </c>
      <c r="D21" s="670"/>
      <c r="E21" s="701"/>
      <c r="F21" s="701"/>
    </row>
    <row r="22" spans="1:6" ht="16.5" thickBot="1">
      <c r="A22" s="330" t="s">
        <v>413</v>
      </c>
      <c r="B22" s="525" t="s">
        <v>414</v>
      </c>
      <c r="D22" s="670"/>
      <c r="E22" s="701"/>
      <c r="F22" s="701"/>
    </row>
    <row r="23" spans="1:6" ht="30.75" thickBot="1">
      <c r="A23" s="526" t="s">
        <v>415</v>
      </c>
      <c r="B23" s="534" t="s">
        <v>619</v>
      </c>
      <c r="D23" s="670"/>
      <c r="E23" s="701"/>
      <c r="F23" s="701"/>
    </row>
    <row r="24" spans="1:6" ht="60.75" thickBot="1">
      <c r="A24" s="541" t="s">
        <v>416</v>
      </c>
      <c r="B24" s="525" t="s">
        <v>414</v>
      </c>
      <c r="D24" s="670"/>
      <c r="E24" s="701"/>
      <c r="F24" s="701"/>
    </row>
    <row r="25" spans="1:6" ht="60.75" thickBot="1">
      <c r="A25" s="526" t="s">
        <v>417</v>
      </c>
      <c r="B25" s="525" t="s">
        <v>414</v>
      </c>
      <c r="D25" s="670"/>
      <c r="E25" s="701"/>
      <c r="F25" s="701"/>
    </row>
    <row r="26" spans="1:6" ht="16.5" thickBot="1">
      <c r="A26" s="547" t="s">
        <v>418</v>
      </c>
      <c r="B26" s="525"/>
      <c r="D26" s="670"/>
      <c r="E26" s="701"/>
      <c r="F26" s="701"/>
    </row>
    <row r="27" spans="1:6" ht="30.75" thickBot="1">
      <c r="A27" s="526" t="s">
        <v>419</v>
      </c>
      <c r="B27" s="526" t="s">
        <v>604</v>
      </c>
      <c r="D27" s="670"/>
      <c r="E27" s="701"/>
      <c r="F27" s="701"/>
    </row>
    <row r="28" spans="1:6" ht="16.5" thickBot="1">
      <c r="A28" s="547" t="s">
        <v>420</v>
      </c>
      <c r="B28" s="525"/>
      <c r="D28" s="670"/>
      <c r="E28" s="701"/>
      <c r="F28" s="701"/>
    </row>
    <row r="29" spans="1:6" ht="30.75" thickBot="1">
      <c r="A29" s="549" t="s">
        <v>421</v>
      </c>
      <c r="B29" s="525" t="s">
        <v>490</v>
      </c>
      <c r="D29" s="670"/>
      <c r="E29" s="701"/>
      <c r="F29" s="701"/>
    </row>
    <row r="30" spans="1:6" ht="16.5" thickBot="1">
      <c r="A30" s="547" t="s">
        <v>422</v>
      </c>
      <c r="B30" s="524" t="s">
        <v>423</v>
      </c>
      <c r="D30" s="670"/>
      <c r="E30" s="701"/>
      <c r="F30" s="701"/>
    </row>
    <row r="31" spans="1:6" ht="16.5" thickBot="1">
      <c r="A31" s="330" t="s">
        <v>424</v>
      </c>
      <c r="B31" s="527" t="s">
        <v>491</v>
      </c>
      <c r="D31" s="670"/>
      <c r="E31" s="701"/>
      <c r="F31" s="701"/>
    </row>
    <row r="32" spans="1:6" ht="17.25" customHeight="1" thickBot="1">
      <c r="A32" s="547" t="s">
        <v>425</v>
      </c>
      <c r="B32" s="528" t="s">
        <v>492</v>
      </c>
      <c r="D32" s="670"/>
      <c r="E32" s="701"/>
      <c r="F32" s="701"/>
    </row>
    <row r="33" spans="1:6" ht="28.5">
      <c r="A33" s="330" t="s">
        <v>426</v>
      </c>
      <c r="B33" s="529"/>
      <c r="D33" s="670"/>
      <c r="E33" s="701"/>
      <c r="F33" s="701"/>
    </row>
    <row r="34" spans="1:6" ht="45">
      <c r="A34" s="544" t="s">
        <v>427</v>
      </c>
      <c r="B34" s="530" t="s">
        <v>414</v>
      </c>
      <c r="D34" s="670"/>
      <c r="E34" s="701"/>
      <c r="F34" s="701"/>
    </row>
    <row r="35" spans="1:6" ht="15.75">
      <c r="A35" s="544" t="s">
        <v>428</v>
      </c>
      <c r="B35" s="530" t="s">
        <v>414</v>
      </c>
      <c r="D35" s="670"/>
      <c r="E35" s="701"/>
      <c r="F35" s="701"/>
    </row>
    <row r="36" spans="1:6" ht="15.75">
      <c r="A36" s="544" t="s">
        <v>429</v>
      </c>
      <c r="B36" s="530" t="s">
        <v>414</v>
      </c>
      <c r="D36" s="670"/>
      <c r="E36" s="701"/>
      <c r="F36" s="701"/>
    </row>
    <row r="37" spans="1:6" ht="16.5" thickBot="1">
      <c r="A37" s="550" t="s">
        <v>430</v>
      </c>
      <c r="B37" s="530" t="s">
        <v>414</v>
      </c>
      <c r="D37" s="670"/>
      <c r="E37" s="701"/>
      <c r="F37" s="701"/>
    </row>
    <row r="38" spans="1:6" ht="16.5" thickBot="1">
      <c r="A38" s="551" t="s">
        <v>431</v>
      </c>
      <c r="B38" s="531">
        <f>B40</f>
        <v>10.0512355502</v>
      </c>
      <c r="D38" s="670"/>
      <c r="E38" s="701"/>
      <c r="F38" s="701"/>
    </row>
    <row r="39" spans="1:6" ht="16.5" thickBot="1">
      <c r="A39" s="526" t="s">
        <v>432</v>
      </c>
      <c r="B39" s="525" t="s">
        <v>433</v>
      </c>
      <c r="D39" s="670"/>
      <c r="E39" s="701"/>
      <c r="F39" s="701"/>
    </row>
    <row r="40" spans="1:6" ht="29.25" thickBot="1">
      <c r="A40" s="552" t="s">
        <v>434</v>
      </c>
      <c r="B40" s="532">
        <f>B41</f>
        <v>10.0512355502</v>
      </c>
      <c r="E40" s="701"/>
      <c r="F40" s="701"/>
    </row>
    <row r="41" spans="1:6" ht="29.25" thickBot="1">
      <c r="A41" s="552" t="s">
        <v>435</v>
      </c>
      <c r="B41" s="532">
        <f>B44+B49+B54+B59</f>
        <v>10.0512355502</v>
      </c>
      <c r="D41" s="668"/>
      <c r="E41" s="701"/>
      <c r="F41" s="701"/>
    </row>
    <row r="42" spans="1:6" ht="16.5" thickBot="1">
      <c r="A42" s="535" t="s">
        <v>301</v>
      </c>
      <c r="B42" s="533"/>
      <c r="E42" s="701"/>
      <c r="F42" s="701"/>
    </row>
    <row r="43" spans="1:6" ht="35.25" customHeight="1" thickBot="1">
      <c r="A43" s="552" t="s">
        <v>436</v>
      </c>
      <c r="B43" s="532" t="s">
        <v>437</v>
      </c>
      <c r="D43" s="669"/>
      <c r="E43" s="701"/>
      <c r="F43" s="701"/>
    </row>
    <row r="44" spans="1:6" ht="16.5" thickBot="1">
      <c r="A44" s="535" t="s">
        <v>438</v>
      </c>
      <c r="B44" s="534">
        <v>0.893582</v>
      </c>
      <c r="C44" s="671" t="s">
        <v>593</v>
      </c>
      <c r="E44" s="701"/>
      <c r="F44" s="701"/>
    </row>
    <row r="45" spans="1:6" ht="16.5" thickBot="1">
      <c r="A45" s="535" t="s">
        <v>439</v>
      </c>
      <c r="B45" s="525"/>
      <c r="E45" s="701"/>
      <c r="F45" s="701"/>
    </row>
    <row r="46" spans="1:6" ht="16.5" thickBot="1">
      <c r="A46" s="535" t="s">
        <v>440</v>
      </c>
      <c r="B46" s="525"/>
      <c r="E46" s="701"/>
      <c r="F46" s="701"/>
    </row>
    <row r="47" spans="1:6" ht="16.5" thickBot="1">
      <c r="A47" s="535" t="s">
        <v>441</v>
      </c>
      <c r="B47" s="525"/>
      <c r="E47" s="701"/>
      <c r="F47" s="701"/>
    </row>
    <row r="48" spans="1:6" ht="35.25" customHeight="1" thickBot="1">
      <c r="A48" s="552" t="s">
        <v>436</v>
      </c>
      <c r="B48" s="532" t="s">
        <v>616</v>
      </c>
      <c r="D48" s="669"/>
      <c r="E48" s="701"/>
      <c r="F48" s="701"/>
    </row>
    <row r="49" spans="1:6" ht="16.5" thickBot="1">
      <c r="A49" s="535" t="s">
        <v>438</v>
      </c>
      <c r="B49" s="534">
        <v>0.670178</v>
      </c>
      <c r="C49" s="671" t="s">
        <v>615</v>
      </c>
      <c r="E49" s="701"/>
      <c r="F49" s="701"/>
    </row>
    <row r="50" spans="1:6" ht="16.5" thickBot="1">
      <c r="A50" s="535" t="s">
        <v>439</v>
      </c>
      <c r="B50" s="525"/>
      <c r="E50" s="701"/>
      <c r="F50" s="701"/>
    </row>
    <row r="51" spans="1:6" ht="16.5" thickBot="1">
      <c r="A51" s="535" t="s">
        <v>440</v>
      </c>
      <c r="B51" s="525"/>
      <c r="E51" s="701"/>
      <c r="F51" s="701"/>
    </row>
    <row r="52" spans="1:6" ht="16.5" thickBot="1">
      <c r="A52" s="535" t="s">
        <v>441</v>
      </c>
      <c r="B52" s="525"/>
      <c r="E52" s="701"/>
      <c r="F52" s="701"/>
    </row>
    <row r="53" spans="1:6" ht="30.75" thickBot="1">
      <c r="A53" s="552" t="s">
        <v>442</v>
      </c>
      <c r="B53" s="535" t="s">
        <v>493</v>
      </c>
      <c r="D53" s="669"/>
      <c r="E53" s="701"/>
      <c r="F53" s="701"/>
    </row>
    <row r="54" spans="1:6" ht="39" thickBot="1">
      <c r="A54" s="535" t="s">
        <v>438</v>
      </c>
      <c r="B54" s="532">
        <f>3.7669966+1.8498624+0.49914</f>
        <v>6.1159989999999995</v>
      </c>
      <c r="C54" s="670" t="s">
        <v>596</v>
      </c>
      <c r="E54" s="701"/>
      <c r="F54" s="701"/>
    </row>
    <row r="55" spans="1:6" ht="16.5" thickBot="1">
      <c r="A55" s="535" t="s">
        <v>439</v>
      </c>
      <c r="B55" s="525"/>
      <c r="E55" s="701"/>
      <c r="F55" s="701"/>
    </row>
    <row r="56" spans="1:6" ht="16.5" thickBot="1">
      <c r="A56" s="535" t="s">
        <v>440</v>
      </c>
      <c r="B56" s="525"/>
      <c r="E56" s="701"/>
      <c r="F56" s="701"/>
    </row>
    <row r="57" spans="1:6" ht="16.5" thickBot="1">
      <c r="A57" s="535" t="s">
        <v>441</v>
      </c>
      <c r="B57" s="525"/>
      <c r="C57" s="672"/>
      <c r="E57" s="701"/>
      <c r="F57" s="701"/>
    </row>
    <row r="58" spans="1:6" ht="48.75" customHeight="1" thickBot="1">
      <c r="A58" s="552" t="s">
        <v>443</v>
      </c>
      <c r="B58" s="525" t="s">
        <v>601</v>
      </c>
      <c r="C58" s="673"/>
      <c r="E58" s="701"/>
      <c r="F58" s="701"/>
    </row>
    <row r="59" spans="1:6" ht="16.5" thickBot="1">
      <c r="A59" s="535" t="s">
        <v>438</v>
      </c>
      <c r="B59" s="532">
        <f>2.00972589*1.18</f>
        <v>2.3714765501999997</v>
      </c>
      <c r="C59" s="672" t="s">
        <v>595</v>
      </c>
      <c r="E59" s="701"/>
      <c r="F59" s="701"/>
    </row>
    <row r="60" spans="1:6" ht="16.5" thickBot="1">
      <c r="A60" s="535" t="s">
        <v>439</v>
      </c>
      <c r="B60" s="525"/>
      <c r="E60" s="701"/>
      <c r="F60" s="701"/>
    </row>
    <row r="61" spans="1:6" ht="16.5" thickBot="1">
      <c r="A61" s="535" t="s">
        <v>440</v>
      </c>
      <c r="B61" s="525"/>
      <c r="E61" s="701"/>
      <c r="F61" s="701"/>
    </row>
    <row r="62" spans="1:6" ht="16.5" thickBot="1">
      <c r="A62" s="535" t="s">
        <v>441</v>
      </c>
      <c r="B62" s="525"/>
      <c r="E62" s="701"/>
      <c r="F62" s="701"/>
    </row>
    <row r="63" spans="1:6" ht="29.25" thickBot="1">
      <c r="A63" s="553" t="s">
        <v>444</v>
      </c>
      <c r="B63" s="536"/>
      <c r="E63" s="701"/>
      <c r="F63" s="701"/>
    </row>
    <row r="64" spans="1:6" ht="16.5" thickBot="1">
      <c r="A64" s="554" t="s">
        <v>301</v>
      </c>
      <c r="B64" s="536"/>
      <c r="E64" s="701"/>
      <c r="F64" s="701"/>
    </row>
    <row r="65" spans="1:6" ht="16.5" thickBot="1">
      <c r="A65" s="554" t="s">
        <v>445</v>
      </c>
      <c r="B65" s="536"/>
      <c r="E65" s="701"/>
      <c r="F65" s="701"/>
    </row>
    <row r="66" spans="1:6" ht="16.5" thickBot="1">
      <c r="A66" s="554" t="s">
        <v>446</v>
      </c>
      <c r="B66" s="536"/>
      <c r="E66" s="701"/>
      <c r="F66" s="701"/>
    </row>
    <row r="67" spans="1:6" ht="16.5" thickBot="1">
      <c r="A67" s="554" t="s">
        <v>447</v>
      </c>
      <c r="B67" s="536"/>
      <c r="E67" s="701"/>
      <c r="F67" s="701"/>
    </row>
    <row r="68" spans="1:6" ht="16.5" thickBot="1">
      <c r="A68" s="552" t="s">
        <v>448</v>
      </c>
      <c r="B68" s="537">
        <f>B69/B38</f>
        <v>1</v>
      </c>
      <c r="E68" s="701"/>
      <c r="F68" s="701"/>
    </row>
    <row r="69" spans="1:6" ht="16.5" thickBot="1">
      <c r="A69" s="552" t="s">
        <v>449</v>
      </c>
      <c r="B69" s="570">
        <v>10.0512355502</v>
      </c>
      <c r="E69" s="701"/>
      <c r="F69" s="701"/>
    </row>
    <row r="70" spans="1:6" ht="16.5" thickBot="1">
      <c r="A70" s="552" t="s">
        <v>450</v>
      </c>
      <c r="B70" s="537">
        <f>B71/B38</f>
        <v>0.9999999999999998</v>
      </c>
      <c r="E70" s="701"/>
      <c r="F70" s="701"/>
    </row>
    <row r="71" spans="1:6" ht="16.5" thickBot="1">
      <c r="A71" s="551" t="s">
        <v>451</v>
      </c>
      <c r="B71" s="571">
        <v>10.051235550199998</v>
      </c>
      <c r="E71" s="701"/>
      <c r="F71" s="701"/>
    </row>
    <row r="72" spans="1:6" ht="15.75">
      <c r="A72" s="330" t="s">
        <v>452</v>
      </c>
      <c r="B72" s="529"/>
      <c r="E72" s="701"/>
      <c r="F72" s="701"/>
    </row>
    <row r="73" spans="1:6" ht="15.75">
      <c r="A73" s="544" t="s">
        <v>453</v>
      </c>
      <c r="B73" s="530" t="s">
        <v>454</v>
      </c>
      <c r="E73" s="701"/>
      <c r="F73" s="701"/>
    </row>
    <row r="74" spans="1:6" ht="15.75">
      <c r="A74" s="544" t="s">
        <v>455</v>
      </c>
      <c r="B74" s="530"/>
      <c r="E74" s="701"/>
      <c r="F74" s="701"/>
    </row>
    <row r="75" spans="1:6" ht="15.75">
      <c r="A75" s="544" t="s">
        <v>456</v>
      </c>
      <c r="B75" s="530"/>
      <c r="E75" s="701"/>
      <c r="F75" s="701"/>
    </row>
    <row r="76" spans="1:6" ht="15.75">
      <c r="A76" s="544" t="s">
        <v>457</v>
      </c>
      <c r="B76" s="530" t="s">
        <v>605</v>
      </c>
      <c r="E76" s="701"/>
      <c r="F76" s="701"/>
    </row>
    <row r="77" spans="1:6" ht="16.5" thickBot="1">
      <c r="A77" s="545" t="s">
        <v>458</v>
      </c>
      <c r="B77" s="538" t="s">
        <v>459</v>
      </c>
      <c r="E77" s="701"/>
      <c r="F77" s="701"/>
    </row>
    <row r="78" spans="1:6" ht="30.75" thickBot="1">
      <c r="A78" s="541" t="s">
        <v>460</v>
      </c>
      <c r="B78" s="539" t="s">
        <v>461</v>
      </c>
      <c r="E78" s="701"/>
      <c r="F78" s="701"/>
    </row>
    <row r="79" spans="1:6" ht="29.25" thickBot="1">
      <c r="A79" s="547" t="s">
        <v>462</v>
      </c>
      <c r="B79" s="526">
        <v>5</v>
      </c>
      <c r="E79" s="701"/>
      <c r="F79" s="701"/>
    </row>
    <row r="80" spans="1:6" ht="16.5" thickBot="1">
      <c r="A80" s="541" t="s">
        <v>301</v>
      </c>
      <c r="B80" s="540"/>
      <c r="E80" s="701"/>
      <c r="F80" s="701"/>
    </row>
    <row r="81" spans="1:6" ht="16.5" thickBot="1">
      <c r="A81" s="541" t="s">
        <v>463</v>
      </c>
      <c r="B81" s="526">
        <v>3</v>
      </c>
      <c r="E81" s="701"/>
      <c r="F81" s="701"/>
    </row>
    <row r="82" spans="1:6" ht="16.5" thickBot="1">
      <c r="A82" s="541" t="s">
        <v>464</v>
      </c>
      <c r="B82" s="540">
        <v>2</v>
      </c>
      <c r="E82" s="701"/>
      <c r="F82" s="701"/>
    </row>
    <row r="83" spans="1:6" ht="16.5" thickBot="1">
      <c r="A83" s="330" t="s">
        <v>465</v>
      </c>
      <c r="B83" s="541"/>
      <c r="E83" s="701"/>
      <c r="F83" s="701"/>
    </row>
    <row r="84" spans="1:6" ht="16.5" thickBot="1">
      <c r="A84" s="547" t="s">
        <v>466</v>
      </c>
      <c r="B84" s="541"/>
      <c r="E84" s="701"/>
      <c r="F84" s="701"/>
    </row>
    <row r="85" spans="1:6" ht="16.5" thickBot="1">
      <c r="A85" s="544" t="s">
        <v>467</v>
      </c>
      <c r="B85" s="542"/>
      <c r="E85" s="701"/>
      <c r="F85" s="701"/>
    </row>
    <row r="86" spans="1:6" ht="16.5" thickBot="1">
      <c r="A86" s="544" t="s">
        <v>468</v>
      </c>
      <c r="B86" s="542"/>
      <c r="E86" s="701"/>
      <c r="F86" s="701"/>
    </row>
    <row r="87" spans="1:6" ht="16.5" thickBot="1">
      <c r="A87" s="544" t="s">
        <v>469</v>
      </c>
      <c r="B87" s="542"/>
      <c r="E87" s="701"/>
      <c r="F87" s="701"/>
    </row>
    <row r="88" spans="1:6" ht="30.75" thickBot="1">
      <c r="A88" s="330" t="s">
        <v>470</v>
      </c>
      <c r="B88" s="543" t="s">
        <v>603</v>
      </c>
      <c r="E88" s="701"/>
      <c r="F88" s="701"/>
    </row>
    <row r="89" spans="1:6" ht="28.5">
      <c r="A89" s="330" t="s">
        <v>471</v>
      </c>
      <c r="B89" s="825"/>
      <c r="E89" s="701"/>
      <c r="F89" s="701"/>
    </row>
    <row r="90" spans="1:6" ht="15.75">
      <c r="A90" s="544" t="s">
        <v>472</v>
      </c>
      <c r="B90" s="826"/>
      <c r="E90" s="701"/>
      <c r="F90" s="701"/>
    </row>
    <row r="91" spans="1:6" ht="15.75">
      <c r="A91" s="544" t="s">
        <v>473</v>
      </c>
      <c r="B91" s="826"/>
      <c r="E91" s="701"/>
      <c r="F91" s="701"/>
    </row>
    <row r="92" spans="1:6" ht="15.75">
      <c r="A92" s="544" t="s">
        <v>474</v>
      </c>
      <c r="B92" s="826"/>
      <c r="E92" s="701"/>
      <c r="F92" s="701"/>
    </row>
    <row r="93" spans="1:6" ht="15.75">
      <c r="A93" s="544" t="s">
        <v>475</v>
      </c>
      <c r="B93" s="826"/>
      <c r="E93" s="701"/>
      <c r="F93" s="701"/>
    </row>
    <row r="94" spans="1:6" ht="16.5" thickBot="1">
      <c r="A94" s="555" t="s">
        <v>476</v>
      </c>
      <c r="B94" s="827"/>
      <c r="E94" s="701"/>
      <c r="F94" s="701"/>
    </row>
    <row r="96" spans="1:2" ht="15.75">
      <c r="A96" s="331" t="s">
        <v>477</v>
      </c>
      <c r="B96" s="331"/>
    </row>
    <row r="97" ht="15.75">
      <c r="A97" s="324" t="s">
        <v>478</v>
      </c>
    </row>
    <row r="98" ht="15.75">
      <c r="A98" s="324" t="s">
        <v>479</v>
      </c>
    </row>
    <row r="99" ht="15.75">
      <c r="A99" s="324" t="s">
        <v>480</v>
      </c>
    </row>
    <row r="100" ht="15.75">
      <c r="A100" s="324" t="s">
        <v>481</v>
      </c>
    </row>
    <row r="101" ht="15.75">
      <c r="A101" s="324" t="s">
        <v>482</v>
      </c>
    </row>
    <row r="102" ht="15.75">
      <c r="A102" s="324" t="s">
        <v>483</v>
      </c>
    </row>
    <row r="103" spans="1:2" ht="15.75">
      <c r="A103" s="828" t="s">
        <v>484</v>
      </c>
      <c r="B103" s="828"/>
    </row>
    <row r="105" spans="1:2" ht="15.75">
      <c r="A105" s="829" t="s">
        <v>485</v>
      </c>
      <c r="B105" s="829"/>
    </row>
    <row r="106" ht="15.75">
      <c r="B106" s="332"/>
    </row>
    <row r="107" ht="15.75">
      <c r="B107" s="333"/>
    </row>
  </sheetData>
  <sheetProtection/>
  <mergeCells count="5">
    <mergeCell ref="A13:B13"/>
    <mergeCell ref="A14:B14"/>
    <mergeCell ref="B89:B94"/>
    <mergeCell ref="A103:B103"/>
    <mergeCell ref="A105:B105"/>
  </mergeCells>
  <printOptions/>
  <pageMargins left="0.7" right="0.23" top="0.75" bottom="0.32" header="0.3" footer="0.3"/>
  <pageSetup fitToHeight="2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E24" sqref="E24"/>
    </sheetView>
  </sheetViews>
  <sheetFormatPr defaultColWidth="9.00390625" defaultRowHeight="15.75"/>
  <cols>
    <col min="1" max="1" width="57.875" style="324" customWidth="1"/>
    <col min="2" max="2" width="58.125" style="324" customWidth="1"/>
    <col min="3" max="3" width="18.125" style="674" customWidth="1"/>
    <col min="4" max="4" width="29.75390625" style="676" customWidth="1"/>
    <col min="5" max="5" width="9.00390625" style="674" customWidth="1"/>
    <col min="6" max="6" width="9.75390625" style="702" bestFit="1" customWidth="1"/>
    <col min="7" max="8" width="9.00390625" style="702" customWidth="1"/>
    <col min="9" max="16384" width="9.00390625" style="326" customWidth="1"/>
  </cols>
  <sheetData>
    <row r="1" ht="15.75">
      <c r="B1" s="325" t="s">
        <v>407</v>
      </c>
    </row>
    <row r="2" ht="15.75">
      <c r="B2" s="325" t="s">
        <v>37</v>
      </c>
    </row>
    <row r="3" ht="15.75">
      <c r="B3" s="303" t="s">
        <v>379</v>
      </c>
    </row>
    <row r="4" ht="15.75">
      <c r="B4" s="327"/>
    </row>
    <row r="5" ht="15.75">
      <c r="B5" s="3" t="s">
        <v>38</v>
      </c>
    </row>
    <row r="6" ht="15.75">
      <c r="B6" s="3" t="s">
        <v>698</v>
      </c>
    </row>
    <row r="7" ht="15.75">
      <c r="B7" s="3"/>
    </row>
    <row r="8" ht="15.75">
      <c r="B8" s="3" t="s">
        <v>667</v>
      </c>
    </row>
    <row r="9" ht="15.75">
      <c r="B9" s="3" t="s">
        <v>748</v>
      </c>
    </row>
    <row r="10" ht="15.75">
      <c r="B10" s="3" t="s">
        <v>42</v>
      </c>
    </row>
    <row r="11" ht="15.75">
      <c r="B11" s="328"/>
    </row>
    <row r="12" ht="15.75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tr">
        <f>'10 (ДЭС с.Ковран) '!A14:B14</f>
        <v>"Реконструкция и развитие электроснабжения ОАО "Корякэнерго"</v>
      </c>
      <c r="B14" s="824"/>
    </row>
    <row r="15" ht="16.5" thickBot="1">
      <c r="B15" s="329"/>
    </row>
    <row r="16" spans="1:2" ht="16.5" thickBot="1">
      <c r="A16" s="546" t="s">
        <v>274</v>
      </c>
      <c r="B16" s="557" t="s">
        <v>395</v>
      </c>
    </row>
    <row r="17" spans="1:2" ht="16.5" thickBot="1">
      <c r="A17" s="546" t="s">
        <v>408</v>
      </c>
      <c r="B17" s="558" t="s">
        <v>486</v>
      </c>
    </row>
    <row r="18" spans="1:2" ht="16.5" thickBot="1">
      <c r="A18" s="546" t="s">
        <v>409</v>
      </c>
      <c r="B18" s="559" t="s">
        <v>494</v>
      </c>
    </row>
    <row r="19" spans="1:2" ht="16.5" thickBot="1">
      <c r="A19" s="546" t="s">
        <v>410</v>
      </c>
      <c r="B19" s="622" t="s">
        <v>635</v>
      </c>
    </row>
    <row r="20" spans="1:2" ht="16.5" thickBot="1">
      <c r="A20" s="547" t="s">
        <v>411</v>
      </c>
      <c r="B20" s="623" t="s">
        <v>489</v>
      </c>
    </row>
    <row r="21" spans="1:3" ht="30.75" thickBot="1">
      <c r="A21" s="548" t="s">
        <v>412</v>
      </c>
      <c r="B21" s="661" t="s">
        <v>715</v>
      </c>
      <c r="C21" s="675"/>
    </row>
    <row r="22" spans="1:2" ht="16.5" thickBot="1">
      <c r="A22" s="330" t="s">
        <v>413</v>
      </c>
      <c r="B22" s="526" t="s">
        <v>414</v>
      </c>
    </row>
    <row r="23" spans="1:2" ht="30.75" thickBot="1">
      <c r="A23" s="526" t="s">
        <v>415</v>
      </c>
      <c r="B23" s="535" t="s">
        <v>619</v>
      </c>
    </row>
    <row r="24" spans="1:2" ht="60.75" thickBot="1">
      <c r="A24" s="541" t="s">
        <v>416</v>
      </c>
      <c r="B24" s="526" t="s">
        <v>414</v>
      </c>
    </row>
    <row r="25" spans="1:2" ht="60.75" thickBot="1">
      <c r="A25" s="526" t="s">
        <v>417</v>
      </c>
      <c r="B25" s="526" t="s">
        <v>414</v>
      </c>
    </row>
    <row r="26" spans="1:2" ht="16.5" thickBot="1">
      <c r="A26" s="547" t="s">
        <v>418</v>
      </c>
      <c r="B26" s="526"/>
    </row>
    <row r="27" spans="1:2" ht="30.75" thickBot="1">
      <c r="A27" s="526" t="s">
        <v>419</v>
      </c>
      <c r="B27" s="526" t="s">
        <v>606</v>
      </c>
    </row>
    <row r="28" spans="1:2" ht="16.5" thickBot="1">
      <c r="A28" s="547" t="s">
        <v>420</v>
      </c>
      <c r="B28" s="526"/>
    </row>
    <row r="29" spans="1:2" ht="30.75" thickBot="1">
      <c r="A29" s="549" t="s">
        <v>421</v>
      </c>
      <c r="B29" s="526" t="s">
        <v>490</v>
      </c>
    </row>
    <row r="30" spans="1:2" ht="16.5" thickBot="1">
      <c r="A30" s="547" t="s">
        <v>422</v>
      </c>
      <c r="B30" s="560"/>
    </row>
    <row r="31" spans="1:2" ht="16.5" thickBot="1">
      <c r="A31" s="330" t="s">
        <v>424</v>
      </c>
      <c r="B31" s="561"/>
    </row>
    <row r="32" spans="1:2" ht="18.75" customHeight="1" thickBot="1">
      <c r="A32" s="547" t="s">
        <v>425</v>
      </c>
      <c r="B32" s="541"/>
    </row>
    <row r="33" spans="1:2" ht="28.5">
      <c r="A33" s="330" t="s">
        <v>426</v>
      </c>
      <c r="B33" s="541"/>
    </row>
    <row r="34" spans="1:2" ht="45">
      <c r="A34" s="544" t="s">
        <v>427</v>
      </c>
      <c r="B34" s="544" t="s">
        <v>414</v>
      </c>
    </row>
    <row r="35" spans="1:2" ht="15.75">
      <c r="A35" s="544" t="s">
        <v>428</v>
      </c>
      <c r="B35" s="544" t="s">
        <v>414</v>
      </c>
    </row>
    <row r="36" spans="1:2" ht="15.75">
      <c r="A36" s="544" t="s">
        <v>429</v>
      </c>
      <c r="B36" s="544" t="s">
        <v>414</v>
      </c>
    </row>
    <row r="37" spans="1:2" ht="16.5" thickBot="1">
      <c r="A37" s="550" t="s">
        <v>430</v>
      </c>
      <c r="B37" s="544" t="s">
        <v>414</v>
      </c>
    </row>
    <row r="38" spans="1:2" ht="16.5" thickBot="1">
      <c r="A38" s="551" t="s">
        <v>431</v>
      </c>
      <c r="B38" s="562">
        <f>B40</f>
        <v>4.7070929999999995</v>
      </c>
    </row>
    <row r="39" spans="1:2" ht="16.5" thickBot="1">
      <c r="A39" s="526" t="s">
        <v>432</v>
      </c>
      <c r="B39" s="526" t="s">
        <v>433</v>
      </c>
    </row>
    <row r="40" spans="1:2" ht="29.25" thickBot="1">
      <c r="A40" s="552" t="s">
        <v>434</v>
      </c>
      <c r="B40" s="563">
        <f>B41</f>
        <v>4.7070929999999995</v>
      </c>
    </row>
    <row r="41" spans="1:2" ht="29.25" thickBot="1">
      <c r="A41" s="552" t="s">
        <v>435</v>
      </c>
      <c r="B41" s="563">
        <f>B44+B54</f>
        <v>4.7070929999999995</v>
      </c>
    </row>
    <row r="42" spans="1:2" ht="16.5" thickBot="1">
      <c r="A42" s="535" t="s">
        <v>301</v>
      </c>
      <c r="B42" s="556"/>
    </row>
    <row r="43" spans="1:4" ht="30.75" thickBot="1">
      <c r="A43" s="552" t="s">
        <v>436</v>
      </c>
      <c r="B43" s="563" t="s">
        <v>591</v>
      </c>
      <c r="D43" s="677"/>
    </row>
    <row r="44" spans="1:3" ht="16.5" thickBot="1">
      <c r="A44" s="535" t="s">
        <v>438</v>
      </c>
      <c r="B44" s="563">
        <v>4.327093</v>
      </c>
      <c r="C44" s="674" t="s">
        <v>617</v>
      </c>
    </row>
    <row r="45" spans="1:2" ht="16.5" thickBot="1">
      <c r="A45" s="535" t="s">
        <v>439</v>
      </c>
      <c r="B45" s="526"/>
    </row>
    <row r="46" spans="1:2" ht="16.5" thickBot="1">
      <c r="A46" s="535" t="s">
        <v>440</v>
      </c>
      <c r="B46" s="526"/>
    </row>
    <row r="47" spans="1:2" ht="16.5" thickBot="1">
      <c r="A47" s="535" t="s">
        <v>441</v>
      </c>
      <c r="B47" s="526"/>
    </row>
    <row r="48" spans="1:2" ht="29.25" thickBot="1">
      <c r="A48" s="552" t="s">
        <v>442</v>
      </c>
      <c r="B48" s="526"/>
    </row>
    <row r="49" spans="1:2" ht="16.5" thickBot="1">
      <c r="A49" s="535" t="s">
        <v>438</v>
      </c>
      <c r="B49" s="526"/>
    </row>
    <row r="50" spans="1:2" ht="16.5" thickBot="1">
      <c r="A50" s="535" t="s">
        <v>439</v>
      </c>
      <c r="B50" s="526"/>
    </row>
    <row r="51" spans="1:2" ht="16.5" thickBot="1">
      <c r="A51" s="535" t="s">
        <v>440</v>
      </c>
      <c r="B51" s="526"/>
    </row>
    <row r="52" spans="1:2" ht="16.5" thickBot="1">
      <c r="A52" s="535" t="s">
        <v>441</v>
      </c>
      <c r="B52" s="526"/>
    </row>
    <row r="53" spans="1:4" ht="60.75" thickBot="1">
      <c r="A53" s="552" t="s">
        <v>443</v>
      </c>
      <c r="B53" s="535" t="s">
        <v>636</v>
      </c>
      <c r="D53" s="677"/>
    </row>
    <row r="54" spans="1:3" ht="16.5" thickBot="1">
      <c r="A54" s="535" t="s">
        <v>438</v>
      </c>
      <c r="B54" s="563">
        <v>0.38</v>
      </c>
      <c r="C54" s="674" t="s">
        <v>618</v>
      </c>
    </row>
    <row r="55" spans="1:2" ht="16.5" thickBot="1">
      <c r="A55" s="535" t="s">
        <v>439</v>
      </c>
      <c r="B55" s="526"/>
    </row>
    <row r="56" spans="1:2" ht="16.5" thickBot="1">
      <c r="A56" s="535" t="s">
        <v>440</v>
      </c>
      <c r="B56" s="526"/>
    </row>
    <row r="57" spans="1:2" ht="16.5" thickBot="1">
      <c r="A57" s="535" t="s">
        <v>441</v>
      </c>
      <c r="B57" s="526"/>
    </row>
    <row r="58" spans="1:2" ht="29.25" thickBot="1">
      <c r="A58" s="553" t="s">
        <v>444</v>
      </c>
      <c r="B58" s="564"/>
    </row>
    <row r="59" spans="1:2" ht="16.5" thickBot="1">
      <c r="A59" s="554" t="s">
        <v>301</v>
      </c>
      <c r="B59" s="564"/>
    </row>
    <row r="60" spans="1:2" ht="16.5" thickBot="1">
      <c r="A60" s="554" t="s">
        <v>445</v>
      </c>
      <c r="B60" s="564"/>
    </row>
    <row r="61" spans="1:2" ht="16.5" thickBot="1">
      <c r="A61" s="554" t="s">
        <v>446</v>
      </c>
      <c r="B61" s="564"/>
    </row>
    <row r="62" spans="1:2" ht="16.5" thickBot="1">
      <c r="A62" s="554" t="s">
        <v>447</v>
      </c>
      <c r="B62" s="564"/>
    </row>
    <row r="63" spans="1:2" ht="16.5" thickBot="1">
      <c r="A63" s="552" t="s">
        <v>448</v>
      </c>
      <c r="B63" s="565">
        <f>B64/B38</f>
        <v>0.919270768603892</v>
      </c>
    </row>
    <row r="64" spans="1:2" ht="16.5" thickBot="1">
      <c r="A64" s="552" t="s">
        <v>449</v>
      </c>
      <c r="B64" s="566">
        <v>4.327093</v>
      </c>
    </row>
    <row r="65" spans="1:2" ht="16.5" thickBot="1">
      <c r="A65" s="552" t="s">
        <v>450</v>
      </c>
      <c r="B65" s="565">
        <f>B66/B38</f>
        <v>1</v>
      </c>
    </row>
    <row r="66" spans="1:2" ht="16.5" thickBot="1">
      <c r="A66" s="551" t="s">
        <v>451</v>
      </c>
      <c r="B66" s="567">
        <v>4.7070929999999995</v>
      </c>
    </row>
    <row r="67" spans="1:2" ht="15.75">
      <c r="A67" s="330" t="s">
        <v>452</v>
      </c>
      <c r="B67" s="541"/>
    </row>
    <row r="68" spans="1:2" ht="15.75">
      <c r="A68" s="544" t="s">
        <v>453</v>
      </c>
      <c r="B68" s="544" t="s">
        <v>454</v>
      </c>
    </row>
    <row r="69" spans="1:2" ht="15.75">
      <c r="A69" s="544" t="s">
        <v>455</v>
      </c>
      <c r="B69" s="544" t="s">
        <v>592</v>
      </c>
    </row>
    <row r="70" spans="1:2" ht="15.75">
      <c r="A70" s="544" t="s">
        <v>456</v>
      </c>
      <c r="B70" s="544"/>
    </row>
    <row r="71" spans="1:2" ht="15.75">
      <c r="A71" s="544" t="s">
        <v>457</v>
      </c>
      <c r="B71" s="544" t="s">
        <v>607</v>
      </c>
    </row>
    <row r="72" spans="1:2" ht="16.5" thickBot="1">
      <c r="A72" s="545" t="s">
        <v>458</v>
      </c>
      <c r="B72" s="545"/>
    </row>
    <row r="73" spans="1:2" ht="30.75" thickBot="1">
      <c r="A73" s="541" t="s">
        <v>460</v>
      </c>
      <c r="B73" s="526" t="s">
        <v>461</v>
      </c>
    </row>
    <row r="74" spans="1:2" ht="29.25" thickBot="1">
      <c r="A74" s="547" t="s">
        <v>462</v>
      </c>
      <c r="B74" s="526"/>
    </row>
    <row r="75" spans="1:2" ht="16.5" thickBot="1">
      <c r="A75" s="541" t="s">
        <v>301</v>
      </c>
      <c r="B75" s="540"/>
    </row>
    <row r="76" spans="1:2" ht="16.5" thickBot="1">
      <c r="A76" s="541" t="s">
        <v>463</v>
      </c>
      <c r="B76" s="526">
        <v>1</v>
      </c>
    </row>
    <row r="77" spans="1:2" ht="16.5" thickBot="1">
      <c r="A77" s="541" t="s">
        <v>464</v>
      </c>
      <c r="B77" s="540">
        <v>3</v>
      </c>
    </row>
    <row r="78" spans="1:2" ht="16.5" thickBot="1">
      <c r="A78" s="330" t="s">
        <v>465</v>
      </c>
      <c r="B78" s="541"/>
    </row>
    <row r="79" spans="1:2" ht="16.5" thickBot="1">
      <c r="A79" s="547" t="s">
        <v>466</v>
      </c>
      <c r="B79" s="541"/>
    </row>
    <row r="80" spans="1:2" ht="16.5" thickBot="1">
      <c r="A80" s="544" t="s">
        <v>467</v>
      </c>
      <c r="B80" s="540"/>
    </row>
    <row r="81" spans="1:2" ht="16.5" thickBot="1">
      <c r="A81" s="544" t="s">
        <v>468</v>
      </c>
      <c r="B81" s="540"/>
    </row>
    <row r="82" spans="1:2" ht="16.5" thickBot="1">
      <c r="A82" s="544" t="s">
        <v>469</v>
      </c>
      <c r="B82" s="540"/>
    </row>
    <row r="83" spans="1:3" ht="30.75" thickBot="1">
      <c r="A83" s="330" t="s">
        <v>470</v>
      </c>
      <c r="B83" s="661" t="s">
        <v>715</v>
      </c>
      <c r="C83" s="675"/>
    </row>
    <row r="84" spans="1:2" ht="28.5">
      <c r="A84" s="330" t="s">
        <v>471</v>
      </c>
      <c r="B84" s="825"/>
    </row>
    <row r="85" spans="1:2" ht="15.75">
      <c r="A85" s="544" t="s">
        <v>472</v>
      </c>
      <c r="B85" s="826"/>
    </row>
    <row r="86" spans="1:2" ht="15.75">
      <c r="A86" s="544" t="s">
        <v>473</v>
      </c>
      <c r="B86" s="826"/>
    </row>
    <row r="87" spans="1:2" ht="15.75">
      <c r="A87" s="544" t="s">
        <v>474</v>
      </c>
      <c r="B87" s="826"/>
    </row>
    <row r="88" spans="1:2" ht="15.75">
      <c r="A88" s="544" t="s">
        <v>475</v>
      </c>
      <c r="B88" s="826"/>
    </row>
    <row r="89" spans="1:2" ht="16.5" thickBot="1">
      <c r="A89" s="555" t="s">
        <v>476</v>
      </c>
      <c r="B89" s="827"/>
    </row>
    <row r="91" spans="1:2" ht="15.75">
      <c r="A91" s="331" t="s">
        <v>477</v>
      </c>
      <c r="B91" s="331"/>
    </row>
    <row r="92" ht="15.75">
      <c r="A92" s="324" t="s">
        <v>478</v>
      </c>
    </row>
    <row r="93" ht="15.75">
      <c r="A93" s="324" t="s">
        <v>479</v>
      </c>
    </row>
    <row r="94" ht="15.75">
      <c r="A94" s="324" t="s">
        <v>480</v>
      </c>
    </row>
    <row r="95" ht="15.75">
      <c r="A95" s="324" t="s">
        <v>481</v>
      </c>
    </row>
    <row r="96" ht="15.75">
      <c r="A96" s="324" t="s">
        <v>482</v>
      </c>
    </row>
    <row r="97" ht="15.75">
      <c r="A97" s="324" t="s">
        <v>483</v>
      </c>
    </row>
    <row r="98" spans="1:2" ht="15.75">
      <c r="A98" s="828" t="s">
        <v>484</v>
      </c>
      <c r="B98" s="828"/>
    </row>
    <row r="100" spans="1:2" ht="15.75">
      <c r="A100" s="829" t="s">
        <v>485</v>
      </c>
      <c r="B100" s="829"/>
    </row>
    <row r="101" ht="15.75">
      <c r="B101" s="332"/>
    </row>
    <row r="102" ht="15.75">
      <c r="B102" s="33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C9" sqref="C9"/>
    </sheetView>
  </sheetViews>
  <sheetFormatPr defaultColWidth="9.00390625" defaultRowHeight="15.75"/>
  <cols>
    <col min="1" max="1" width="57.875" style="324" customWidth="1"/>
    <col min="2" max="2" width="58.125" style="324" customWidth="1"/>
    <col min="3" max="3" width="33.125" style="667" customWidth="1"/>
    <col min="4" max="4" width="26.00390625" style="665" customWidth="1"/>
    <col min="5" max="5" width="9.75390625" style="703" bestFit="1" customWidth="1"/>
    <col min="6" max="6" width="9.00390625" style="703" customWidth="1"/>
    <col min="7" max="7" width="9.00390625" style="665" customWidth="1"/>
    <col min="8" max="16384" width="9.00390625" style="326" customWidth="1"/>
  </cols>
  <sheetData>
    <row r="1" ht="15.75">
      <c r="B1" s="325" t="s">
        <v>407</v>
      </c>
    </row>
    <row r="2" ht="15.75">
      <c r="B2" s="325" t="s">
        <v>37</v>
      </c>
    </row>
    <row r="3" ht="15.75">
      <c r="B3" s="303" t="s">
        <v>379</v>
      </c>
    </row>
    <row r="4" ht="15.75">
      <c r="B4" s="327"/>
    </row>
    <row r="5" ht="15.75">
      <c r="B5" s="3" t="s">
        <v>38</v>
      </c>
    </row>
    <row r="6" ht="15.75">
      <c r="B6" s="3" t="s">
        <v>698</v>
      </c>
    </row>
    <row r="7" ht="15.75">
      <c r="B7" s="3"/>
    </row>
    <row r="8" ht="15.75">
      <c r="B8" s="3" t="s">
        <v>667</v>
      </c>
    </row>
    <row r="9" ht="15.75">
      <c r="B9" s="3" t="s">
        <v>748</v>
      </c>
    </row>
    <row r="10" ht="15.75">
      <c r="B10" s="3" t="s">
        <v>42</v>
      </c>
    </row>
    <row r="11" ht="15.75">
      <c r="B11" s="328"/>
    </row>
    <row r="12" ht="15.75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tr">
        <f>'10 (ГСМ склад с.Ковран)'!A14:B14</f>
        <v>"Реконструкция и развитие электроснабжения ОАО "Корякэнерго"</v>
      </c>
      <c r="B14" s="824"/>
    </row>
    <row r="15" ht="16.5" thickBot="1">
      <c r="B15" s="329"/>
    </row>
    <row r="16" spans="1:2" ht="16.5" thickBot="1">
      <c r="A16" s="546" t="s">
        <v>274</v>
      </c>
      <c r="B16" s="557" t="s">
        <v>501</v>
      </c>
    </row>
    <row r="17" spans="1:2" ht="16.5" thickBot="1">
      <c r="A17" s="546" t="s">
        <v>408</v>
      </c>
      <c r="B17" s="558" t="s">
        <v>502</v>
      </c>
    </row>
    <row r="18" spans="1:2" ht="16.5" thickBot="1">
      <c r="A18" s="546" t="s">
        <v>409</v>
      </c>
      <c r="B18" s="559" t="s">
        <v>494</v>
      </c>
    </row>
    <row r="19" spans="1:2" ht="16.5" thickBot="1">
      <c r="A19" s="546" t="s">
        <v>410</v>
      </c>
      <c r="B19" s="622" t="s">
        <v>637</v>
      </c>
    </row>
    <row r="20" spans="1:2" ht="16.5" thickBot="1">
      <c r="A20" s="547" t="s">
        <v>411</v>
      </c>
      <c r="B20" s="623" t="s">
        <v>646</v>
      </c>
    </row>
    <row r="21" spans="1:4" ht="19.5" thickBot="1">
      <c r="A21" s="548" t="s">
        <v>412</v>
      </c>
      <c r="B21" s="636" t="s">
        <v>717</v>
      </c>
      <c r="D21" s="678"/>
    </row>
    <row r="22" spans="1:2" ht="16.5" thickBot="1">
      <c r="A22" s="330" t="s">
        <v>413</v>
      </c>
      <c r="B22" s="535"/>
    </row>
    <row r="23" spans="1:2" ht="30.75" thickBot="1">
      <c r="A23" s="526" t="s">
        <v>415</v>
      </c>
      <c r="B23" s="535" t="s">
        <v>619</v>
      </c>
    </row>
    <row r="24" spans="1:4" ht="60.75" thickBot="1">
      <c r="A24" s="541" t="s">
        <v>416</v>
      </c>
      <c r="B24" s="535" t="s">
        <v>718</v>
      </c>
      <c r="D24" s="666"/>
    </row>
    <row r="25" spans="1:2" ht="60.75" thickBot="1">
      <c r="A25" s="526" t="s">
        <v>417</v>
      </c>
      <c r="B25" s="535" t="s">
        <v>414</v>
      </c>
    </row>
    <row r="26" spans="1:2" ht="16.5" thickBot="1">
      <c r="A26" s="547" t="s">
        <v>418</v>
      </c>
      <c r="B26" s="526"/>
    </row>
    <row r="27" spans="1:2" ht="30.75" thickBot="1">
      <c r="A27" s="526" t="s">
        <v>419</v>
      </c>
      <c r="B27" s="526" t="s">
        <v>608</v>
      </c>
    </row>
    <row r="28" spans="1:2" ht="16.5" thickBot="1">
      <c r="A28" s="547" t="s">
        <v>420</v>
      </c>
      <c r="B28" s="526"/>
    </row>
    <row r="29" spans="1:2" ht="30.75" thickBot="1">
      <c r="A29" s="549" t="s">
        <v>421</v>
      </c>
      <c r="B29" s="526"/>
    </row>
    <row r="30" spans="1:2" ht="16.5" thickBot="1">
      <c r="A30" s="547" t="s">
        <v>422</v>
      </c>
      <c r="B30" s="560"/>
    </row>
    <row r="31" spans="1:2" ht="16.5" thickBot="1">
      <c r="A31" s="330" t="s">
        <v>424</v>
      </c>
      <c r="B31" s="561"/>
    </row>
    <row r="32" spans="1:2" ht="17.25" customHeight="1" thickBot="1">
      <c r="A32" s="547" t="s">
        <v>425</v>
      </c>
      <c r="B32" s="541"/>
    </row>
    <row r="33" spans="1:2" ht="28.5">
      <c r="A33" s="330" t="s">
        <v>426</v>
      </c>
      <c r="B33" s="541"/>
    </row>
    <row r="34" spans="1:2" ht="45">
      <c r="A34" s="544" t="s">
        <v>427</v>
      </c>
      <c r="B34" s="544" t="s">
        <v>414</v>
      </c>
    </row>
    <row r="35" spans="1:2" ht="15.75">
      <c r="A35" s="544" t="s">
        <v>428</v>
      </c>
      <c r="B35" s="544" t="s">
        <v>414</v>
      </c>
    </row>
    <row r="36" spans="1:2" ht="15.75">
      <c r="A36" s="544" t="s">
        <v>429</v>
      </c>
      <c r="B36" s="544" t="s">
        <v>414</v>
      </c>
    </row>
    <row r="37" spans="1:2" ht="16.5" thickBot="1">
      <c r="A37" s="550" t="s">
        <v>430</v>
      </c>
      <c r="B37" s="544" t="s">
        <v>414</v>
      </c>
    </row>
    <row r="38" spans="1:2" ht="16.5" thickBot="1">
      <c r="A38" s="551" t="s">
        <v>431</v>
      </c>
      <c r="B38" s="562">
        <v>9.941</v>
      </c>
    </row>
    <row r="39" spans="1:2" ht="16.5" thickBot="1">
      <c r="A39" s="526" t="s">
        <v>432</v>
      </c>
      <c r="B39" s="526" t="s">
        <v>433</v>
      </c>
    </row>
    <row r="40" spans="1:4" ht="29.25" thickBot="1">
      <c r="A40" s="552" t="s">
        <v>434</v>
      </c>
      <c r="B40" s="563">
        <f>B41</f>
        <v>5.15814188</v>
      </c>
      <c r="D40" s="679"/>
    </row>
    <row r="41" spans="1:2" ht="29.25" thickBot="1">
      <c r="A41" s="552" t="s">
        <v>435</v>
      </c>
      <c r="B41" s="563">
        <f>B54+B44</f>
        <v>5.15814188</v>
      </c>
    </row>
    <row r="42" spans="1:2" ht="16.5" thickBot="1">
      <c r="A42" s="535" t="s">
        <v>301</v>
      </c>
      <c r="B42" s="556"/>
    </row>
    <row r="43" spans="1:3" ht="45.75" thickBot="1">
      <c r="A43" s="552" t="s">
        <v>436</v>
      </c>
      <c r="B43" s="563" t="s">
        <v>664</v>
      </c>
      <c r="C43" s="669"/>
    </row>
    <row r="44" spans="1:2" ht="16.5" thickBot="1">
      <c r="A44" s="535" t="s">
        <v>438</v>
      </c>
      <c r="B44" s="556">
        <v>4.97814188</v>
      </c>
    </row>
    <row r="45" spans="1:2" ht="16.5" thickBot="1">
      <c r="A45" s="535" t="s">
        <v>439</v>
      </c>
      <c r="B45" s="526"/>
    </row>
    <row r="46" spans="1:2" ht="16.5" thickBot="1">
      <c r="A46" s="535" t="s">
        <v>440</v>
      </c>
      <c r="B46" s="526"/>
    </row>
    <row r="47" spans="1:2" ht="16.5" thickBot="1">
      <c r="A47" s="535" t="s">
        <v>441</v>
      </c>
      <c r="B47" s="526"/>
    </row>
    <row r="48" spans="1:2" ht="29.25" thickBot="1">
      <c r="A48" s="552" t="s">
        <v>442</v>
      </c>
      <c r="B48" s="526"/>
    </row>
    <row r="49" spans="1:2" ht="16.5" thickBot="1">
      <c r="A49" s="535" t="s">
        <v>438</v>
      </c>
      <c r="B49" s="526"/>
    </row>
    <row r="50" spans="1:2" ht="16.5" thickBot="1">
      <c r="A50" s="535" t="s">
        <v>439</v>
      </c>
      <c r="B50" s="526"/>
    </row>
    <row r="51" spans="1:2" ht="16.5" thickBot="1">
      <c r="A51" s="535" t="s">
        <v>440</v>
      </c>
      <c r="B51" s="526"/>
    </row>
    <row r="52" spans="1:2" ht="16.5" thickBot="1">
      <c r="A52" s="535" t="s">
        <v>441</v>
      </c>
      <c r="B52" s="526"/>
    </row>
    <row r="53" spans="1:3" ht="45.75" thickBot="1">
      <c r="A53" s="552" t="s">
        <v>443</v>
      </c>
      <c r="B53" s="535" t="s">
        <v>638</v>
      </c>
      <c r="C53" s="669"/>
    </row>
    <row r="54" spans="1:2" ht="16.5" thickBot="1">
      <c r="A54" s="535" t="s">
        <v>438</v>
      </c>
      <c r="B54" s="563">
        <v>0.18</v>
      </c>
    </row>
    <row r="55" spans="1:2" ht="16.5" thickBot="1">
      <c r="A55" s="535" t="s">
        <v>439</v>
      </c>
      <c r="B55" s="526"/>
    </row>
    <row r="56" spans="1:2" ht="16.5" thickBot="1">
      <c r="A56" s="535" t="s">
        <v>440</v>
      </c>
      <c r="B56" s="535"/>
    </row>
    <row r="57" spans="1:2" ht="16.5" thickBot="1">
      <c r="A57" s="535" t="s">
        <v>441</v>
      </c>
      <c r="B57" s="526"/>
    </row>
    <row r="58" spans="1:2" ht="29.25" thickBot="1">
      <c r="A58" s="553" t="s">
        <v>444</v>
      </c>
      <c r="B58" s="564"/>
    </row>
    <row r="59" spans="1:2" ht="16.5" thickBot="1">
      <c r="A59" s="554" t="s">
        <v>301</v>
      </c>
      <c r="B59" s="564"/>
    </row>
    <row r="60" spans="1:2" ht="16.5" thickBot="1">
      <c r="A60" s="554" t="s">
        <v>445</v>
      </c>
      <c r="B60" s="564"/>
    </row>
    <row r="61" spans="1:2" ht="16.5" thickBot="1">
      <c r="A61" s="554" t="s">
        <v>446</v>
      </c>
      <c r="B61" s="564"/>
    </row>
    <row r="62" spans="1:2" ht="16.5" thickBot="1">
      <c r="A62" s="554" t="s">
        <v>447</v>
      </c>
      <c r="B62" s="564"/>
    </row>
    <row r="63" spans="1:4" ht="16.5" thickBot="1">
      <c r="A63" s="552" t="s">
        <v>448</v>
      </c>
      <c r="B63" s="565">
        <f>B64/B38</f>
        <v>0.16855728799919523</v>
      </c>
      <c r="D63" s="680"/>
    </row>
    <row r="64" spans="1:2" ht="16.5" thickBot="1">
      <c r="A64" s="552" t="s">
        <v>449</v>
      </c>
      <c r="B64" s="566">
        <v>1.675628</v>
      </c>
    </row>
    <row r="65" spans="1:2" ht="16.5" thickBot="1">
      <c r="A65" s="552" t="s">
        <v>450</v>
      </c>
      <c r="B65" s="565">
        <f>B66/B38</f>
        <v>0.5188755537672266</v>
      </c>
    </row>
    <row r="66" spans="1:4" ht="16.5" thickBot="1">
      <c r="A66" s="551" t="s">
        <v>451</v>
      </c>
      <c r="B66" s="567">
        <v>5.15814188</v>
      </c>
      <c r="D66" s="680"/>
    </row>
    <row r="67" spans="1:2" ht="15.75">
      <c r="A67" s="330" t="s">
        <v>452</v>
      </c>
      <c r="B67" s="541"/>
    </row>
    <row r="68" spans="1:2" ht="15.75">
      <c r="A68" s="544" t="s">
        <v>453</v>
      </c>
      <c r="B68" s="544" t="s">
        <v>454</v>
      </c>
    </row>
    <row r="69" spans="1:2" ht="15.75">
      <c r="A69" s="544" t="s">
        <v>455</v>
      </c>
      <c r="B69" s="544" t="s">
        <v>592</v>
      </c>
    </row>
    <row r="70" spans="1:2" ht="15.75">
      <c r="A70" s="544" t="s">
        <v>456</v>
      </c>
      <c r="B70" s="544"/>
    </row>
    <row r="71" spans="1:2" ht="15.75">
      <c r="A71" s="544" t="s">
        <v>457</v>
      </c>
      <c r="B71" s="544" t="s">
        <v>666</v>
      </c>
    </row>
    <row r="72" spans="1:2" ht="16.5" thickBot="1">
      <c r="A72" s="545" t="s">
        <v>458</v>
      </c>
      <c r="B72" s="545"/>
    </row>
    <row r="73" spans="1:2" ht="30.75" thickBot="1">
      <c r="A73" s="541" t="s">
        <v>460</v>
      </c>
      <c r="B73" s="526" t="s">
        <v>461</v>
      </c>
    </row>
    <row r="74" spans="1:2" ht="29.25" thickBot="1">
      <c r="A74" s="547" t="s">
        <v>462</v>
      </c>
      <c r="B74" s="526"/>
    </row>
    <row r="75" spans="1:2" ht="16.5" thickBot="1">
      <c r="A75" s="541" t="s">
        <v>301</v>
      </c>
      <c r="B75" s="540"/>
    </row>
    <row r="76" spans="1:2" ht="16.5" thickBot="1">
      <c r="A76" s="541" t="s">
        <v>463</v>
      </c>
      <c r="B76" s="526">
        <v>2</v>
      </c>
    </row>
    <row r="77" spans="1:2" ht="16.5" thickBot="1">
      <c r="A77" s="541" t="s">
        <v>464</v>
      </c>
      <c r="B77" s="540"/>
    </row>
    <row r="78" spans="1:2" ht="16.5" thickBot="1">
      <c r="A78" s="330" t="s">
        <v>465</v>
      </c>
      <c r="B78" s="541"/>
    </row>
    <row r="79" spans="1:2" ht="16.5" thickBot="1">
      <c r="A79" s="547" t="s">
        <v>466</v>
      </c>
      <c r="B79" s="541"/>
    </row>
    <row r="80" spans="1:2" ht="16.5" thickBot="1">
      <c r="A80" s="544" t="s">
        <v>467</v>
      </c>
      <c r="B80" s="540"/>
    </row>
    <row r="81" spans="1:2" ht="16.5" thickBot="1">
      <c r="A81" s="544" t="s">
        <v>468</v>
      </c>
      <c r="B81" s="540"/>
    </row>
    <row r="82" spans="1:2" ht="16.5" thickBot="1">
      <c r="A82" s="544" t="s">
        <v>469</v>
      </c>
      <c r="B82" s="540"/>
    </row>
    <row r="83" spans="1:2" ht="29.25" thickBot="1">
      <c r="A83" s="330" t="s">
        <v>470</v>
      </c>
      <c r="B83" s="540"/>
    </row>
    <row r="84" spans="1:2" ht="28.5">
      <c r="A84" s="330" t="s">
        <v>471</v>
      </c>
      <c r="B84" s="825"/>
    </row>
    <row r="85" spans="1:2" ht="15.75">
      <c r="A85" s="544" t="s">
        <v>472</v>
      </c>
      <c r="B85" s="826"/>
    </row>
    <row r="86" spans="1:2" ht="15.75">
      <c r="A86" s="544" t="s">
        <v>473</v>
      </c>
      <c r="B86" s="826"/>
    </row>
    <row r="87" spans="1:2" ht="15.75">
      <c r="A87" s="544" t="s">
        <v>474</v>
      </c>
      <c r="B87" s="826"/>
    </row>
    <row r="88" spans="1:2" ht="15.75">
      <c r="A88" s="544" t="s">
        <v>475</v>
      </c>
      <c r="B88" s="826"/>
    </row>
    <row r="89" spans="1:2" ht="16.5" thickBot="1">
      <c r="A89" s="555" t="s">
        <v>476</v>
      </c>
      <c r="B89" s="827"/>
    </row>
    <row r="91" spans="1:2" ht="15.75">
      <c r="A91" s="331" t="s">
        <v>477</v>
      </c>
      <c r="B91" s="331"/>
    </row>
    <row r="92" ht="15.75">
      <c r="A92" s="324" t="s">
        <v>478</v>
      </c>
    </row>
    <row r="93" ht="15.75">
      <c r="A93" s="324" t="s">
        <v>479</v>
      </c>
    </row>
    <row r="94" ht="15.75">
      <c r="A94" s="324" t="s">
        <v>480</v>
      </c>
    </row>
    <row r="95" ht="15.75">
      <c r="A95" s="324" t="s">
        <v>481</v>
      </c>
    </row>
    <row r="96" ht="15.75">
      <c r="A96" s="324" t="s">
        <v>482</v>
      </c>
    </row>
    <row r="97" ht="15.75">
      <c r="A97" s="324" t="s">
        <v>483</v>
      </c>
    </row>
    <row r="98" spans="1:2" ht="15.75">
      <c r="A98" s="828" t="s">
        <v>484</v>
      </c>
      <c r="B98" s="828"/>
    </row>
    <row r="100" spans="1:2" ht="15.75">
      <c r="A100" s="829" t="s">
        <v>485</v>
      </c>
      <c r="B100" s="829"/>
    </row>
    <row r="101" ht="15.75">
      <c r="B101" s="332"/>
    </row>
    <row r="102" ht="15.75">
      <c r="B102" s="33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2"/>
  <sheetViews>
    <sheetView view="pageBreakPreview" zoomScale="75" zoomScaleNormal="90" zoomScaleSheetLayoutView="75" zoomScalePageLayoutView="0" workbookViewId="0" topLeftCell="A1">
      <selection activeCell="F16" sqref="F16"/>
    </sheetView>
  </sheetViews>
  <sheetFormatPr defaultColWidth="9.00390625" defaultRowHeight="15.75"/>
  <cols>
    <col min="1" max="1" width="57.875" style="324" customWidth="1"/>
    <col min="2" max="2" width="58.125" style="324" customWidth="1"/>
    <col min="3" max="3" width="25.625" style="667" customWidth="1"/>
    <col min="4" max="5" width="9.00390625" style="326" customWidth="1"/>
    <col min="6" max="6" width="9.75390625" style="704" bestFit="1" customWidth="1"/>
    <col min="7" max="8" width="9.00390625" style="704" customWidth="1"/>
    <col min="9" max="16384" width="9.00390625" style="326" customWidth="1"/>
  </cols>
  <sheetData>
    <row r="1" ht="15.75">
      <c r="B1" s="325" t="s">
        <v>407</v>
      </c>
    </row>
    <row r="2" ht="15.75">
      <c r="B2" s="325" t="s">
        <v>37</v>
      </c>
    </row>
    <row r="3" ht="15.75">
      <c r="B3" s="303" t="s">
        <v>379</v>
      </c>
    </row>
    <row r="4" ht="15.75">
      <c r="B4" s="327"/>
    </row>
    <row r="5" ht="15.75">
      <c r="B5" s="3" t="s">
        <v>38</v>
      </c>
    </row>
    <row r="6" ht="15.75">
      <c r="B6" s="3" t="s">
        <v>698</v>
      </c>
    </row>
    <row r="7" ht="15.75">
      <c r="B7" s="3"/>
    </row>
    <row r="8" ht="15.75">
      <c r="B8" s="3" t="s">
        <v>667</v>
      </c>
    </row>
    <row r="9" ht="15.75">
      <c r="B9" s="3" t="s">
        <v>748</v>
      </c>
    </row>
    <row r="10" ht="15.75">
      <c r="B10" s="3" t="s">
        <v>42</v>
      </c>
    </row>
    <row r="11" ht="15.75">
      <c r="B11" s="328"/>
    </row>
    <row r="12" ht="15.75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tr">
        <f>'10 (ГСМ склад с.Вывенка)'!A14:B14</f>
        <v>"Реконструкция и развитие электроснабжения ОАО "Корякэнерго"</v>
      </c>
      <c r="B14" s="824"/>
    </row>
    <row r="15" ht="16.5" thickBot="1">
      <c r="B15" s="329"/>
    </row>
    <row r="16" spans="1:2" ht="16.5" thickBot="1">
      <c r="A16" s="546" t="s">
        <v>274</v>
      </c>
      <c r="B16" s="557" t="s">
        <v>639</v>
      </c>
    </row>
    <row r="17" spans="1:2" ht="16.5" thickBot="1">
      <c r="A17" s="546" t="s">
        <v>408</v>
      </c>
      <c r="B17" s="558" t="s">
        <v>640</v>
      </c>
    </row>
    <row r="18" spans="1:2" ht="16.5" thickBot="1">
      <c r="A18" s="546" t="s">
        <v>409</v>
      </c>
      <c r="B18" s="559" t="s">
        <v>494</v>
      </c>
    </row>
    <row r="19" spans="1:2" ht="16.5" thickBot="1">
      <c r="A19" s="546" t="s">
        <v>410</v>
      </c>
      <c r="B19" s="622" t="s">
        <v>641</v>
      </c>
    </row>
    <row r="20" spans="1:2" ht="16.5" thickBot="1">
      <c r="A20" s="547" t="s">
        <v>411</v>
      </c>
      <c r="B20" s="623" t="s">
        <v>646</v>
      </c>
    </row>
    <row r="21" spans="1:2" ht="16.5" thickBot="1">
      <c r="A21" s="548" t="s">
        <v>412</v>
      </c>
      <c r="B21" s="636" t="s">
        <v>733</v>
      </c>
    </row>
    <row r="22" spans="1:2" ht="16.5" thickBot="1">
      <c r="A22" s="330" t="s">
        <v>413</v>
      </c>
      <c r="B22" s="526"/>
    </row>
    <row r="23" spans="1:2" ht="30.75" thickBot="1">
      <c r="A23" s="526" t="s">
        <v>415</v>
      </c>
      <c r="B23" s="535" t="s">
        <v>619</v>
      </c>
    </row>
    <row r="24" spans="1:2" ht="60.75" thickBot="1">
      <c r="A24" s="541" t="s">
        <v>416</v>
      </c>
      <c r="B24" s="535" t="s">
        <v>718</v>
      </c>
    </row>
    <row r="25" spans="1:2" ht="60.75" thickBot="1">
      <c r="A25" s="526" t="s">
        <v>417</v>
      </c>
      <c r="B25" s="526" t="s">
        <v>414</v>
      </c>
    </row>
    <row r="26" spans="1:2" ht="16.5" thickBot="1">
      <c r="A26" s="547" t="s">
        <v>418</v>
      </c>
      <c r="B26" s="526"/>
    </row>
    <row r="27" spans="1:2" ht="30.75" thickBot="1">
      <c r="A27" s="526" t="s">
        <v>419</v>
      </c>
      <c r="B27" s="526"/>
    </row>
    <row r="28" spans="1:2" ht="16.5" thickBot="1">
      <c r="A28" s="547" t="s">
        <v>420</v>
      </c>
      <c r="B28" s="526"/>
    </row>
    <row r="29" spans="1:2" ht="30.75" thickBot="1">
      <c r="A29" s="549" t="s">
        <v>421</v>
      </c>
      <c r="B29" s="526"/>
    </row>
    <row r="30" spans="1:2" ht="16.5" thickBot="1">
      <c r="A30" s="547" t="s">
        <v>422</v>
      </c>
      <c r="B30" s="560"/>
    </row>
    <row r="31" spans="1:2" ht="16.5" thickBot="1">
      <c r="A31" s="330" t="s">
        <v>424</v>
      </c>
      <c r="B31" s="561"/>
    </row>
    <row r="32" spans="1:2" ht="19.5" customHeight="1" thickBot="1">
      <c r="A32" s="547" t="s">
        <v>425</v>
      </c>
      <c r="B32" s="541"/>
    </row>
    <row r="33" spans="1:2" ht="28.5">
      <c r="A33" s="330" t="s">
        <v>426</v>
      </c>
      <c r="B33" s="541"/>
    </row>
    <row r="34" spans="1:2" ht="45">
      <c r="A34" s="544" t="s">
        <v>427</v>
      </c>
      <c r="B34" s="544" t="s">
        <v>414</v>
      </c>
    </row>
    <row r="35" spans="1:2" ht="15.75">
      <c r="A35" s="544" t="s">
        <v>428</v>
      </c>
      <c r="B35" s="544" t="s">
        <v>414</v>
      </c>
    </row>
    <row r="36" spans="1:2" ht="15.75">
      <c r="A36" s="544" t="s">
        <v>429</v>
      </c>
      <c r="B36" s="544" t="s">
        <v>414</v>
      </c>
    </row>
    <row r="37" spans="1:2" ht="16.5" thickBot="1">
      <c r="A37" s="550" t="s">
        <v>430</v>
      </c>
      <c r="B37" s="544" t="s">
        <v>414</v>
      </c>
    </row>
    <row r="38" spans="1:2" ht="16.5" thickBot="1">
      <c r="A38" s="551" t="s">
        <v>431</v>
      </c>
      <c r="B38" s="562">
        <v>15.008</v>
      </c>
    </row>
    <row r="39" spans="1:2" ht="16.5" thickBot="1">
      <c r="A39" s="526" t="s">
        <v>432</v>
      </c>
      <c r="B39" s="526" t="s">
        <v>433</v>
      </c>
    </row>
    <row r="40" spans="1:2" ht="29.25" thickBot="1">
      <c r="A40" s="552" t="s">
        <v>434</v>
      </c>
      <c r="B40" s="563">
        <f>B41</f>
        <v>3.49</v>
      </c>
    </row>
    <row r="41" spans="1:2" ht="29.25" thickBot="1">
      <c r="A41" s="552" t="s">
        <v>435</v>
      </c>
      <c r="B41" s="563">
        <f>B44</f>
        <v>3.49</v>
      </c>
    </row>
    <row r="42" spans="1:2" ht="16.5" thickBot="1">
      <c r="A42" s="535" t="s">
        <v>301</v>
      </c>
      <c r="B42" s="556"/>
    </row>
    <row r="43" spans="1:3" ht="45.75" thickBot="1">
      <c r="A43" s="552" t="s">
        <v>436</v>
      </c>
      <c r="B43" s="563" t="s">
        <v>712</v>
      </c>
      <c r="C43" s="669"/>
    </row>
    <row r="44" spans="1:2" ht="16.5" thickBot="1">
      <c r="A44" s="535" t="s">
        <v>438</v>
      </c>
      <c r="B44" s="556">
        <v>3.49</v>
      </c>
    </row>
    <row r="45" spans="1:2" ht="16.5" thickBot="1">
      <c r="A45" s="535" t="s">
        <v>439</v>
      </c>
      <c r="B45" s="526"/>
    </row>
    <row r="46" spans="1:2" ht="16.5" thickBot="1">
      <c r="A46" s="535" t="s">
        <v>440</v>
      </c>
      <c r="B46" s="526"/>
    </row>
    <row r="47" spans="1:2" ht="16.5" thickBot="1">
      <c r="A47" s="535" t="s">
        <v>441</v>
      </c>
      <c r="B47" s="526"/>
    </row>
    <row r="48" spans="1:2" ht="29.25" thickBot="1">
      <c r="A48" s="552" t="s">
        <v>442</v>
      </c>
      <c r="B48" s="526"/>
    </row>
    <row r="49" spans="1:2" ht="16.5" thickBot="1">
      <c r="A49" s="535" t="s">
        <v>438</v>
      </c>
      <c r="B49" s="526"/>
    </row>
    <row r="50" spans="1:2" ht="16.5" thickBot="1">
      <c r="A50" s="535" t="s">
        <v>439</v>
      </c>
      <c r="B50" s="526"/>
    </row>
    <row r="51" spans="1:2" ht="16.5" thickBot="1">
      <c r="A51" s="535" t="s">
        <v>440</v>
      </c>
      <c r="B51" s="526"/>
    </row>
    <row r="52" spans="1:2" ht="16.5" thickBot="1">
      <c r="A52" s="535" t="s">
        <v>441</v>
      </c>
      <c r="B52" s="526"/>
    </row>
    <row r="53" spans="1:2" ht="29.25" thickBot="1">
      <c r="A53" s="552" t="s">
        <v>443</v>
      </c>
      <c r="B53" s="526"/>
    </row>
    <row r="54" spans="1:2" ht="16.5" thickBot="1">
      <c r="A54" s="535" t="s">
        <v>438</v>
      </c>
      <c r="B54" s="563"/>
    </row>
    <row r="55" spans="1:2" ht="16.5" thickBot="1">
      <c r="A55" s="535" t="s">
        <v>439</v>
      </c>
      <c r="B55" s="526"/>
    </row>
    <row r="56" spans="1:2" ht="16.5" thickBot="1">
      <c r="A56" s="535" t="s">
        <v>440</v>
      </c>
      <c r="B56" s="535"/>
    </row>
    <row r="57" spans="1:2" ht="16.5" thickBot="1">
      <c r="A57" s="535" t="s">
        <v>441</v>
      </c>
      <c r="B57" s="526"/>
    </row>
    <row r="58" spans="1:2" ht="29.25" thickBot="1">
      <c r="A58" s="553" t="s">
        <v>444</v>
      </c>
      <c r="B58" s="564"/>
    </row>
    <row r="59" spans="1:2" ht="16.5" thickBot="1">
      <c r="A59" s="554" t="s">
        <v>301</v>
      </c>
      <c r="B59" s="564"/>
    </row>
    <row r="60" spans="1:2" ht="16.5" thickBot="1">
      <c r="A60" s="554" t="s">
        <v>445</v>
      </c>
      <c r="B60" s="564"/>
    </row>
    <row r="61" spans="1:2" ht="16.5" thickBot="1">
      <c r="A61" s="554" t="s">
        <v>446</v>
      </c>
      <c r="B61" s="564"/>
    </row>
    <row r="62" spans="1:2" ht="16.5" thickBot="1">
      <c r="A62" s="554" t="s">
        <v>447</v>
      </c>
      <c r="B62" s="564"/>
    </row>
    <row r="63" spans="1:2" ht="16.5" thickBot="1">
      <c r="A63" s="552" t="s">
        <v>448</v>
      </c>
      <c r="B63" s="565">
        <f>B64/B38</f>
        <v>0.03331556503198294</v>
      </c>
    </row>
    <row r="64" spans="1:2" ht="16.5" thickBot="1">
      <c r="A64" s="552" t="s">
        <v>449</v>
      </c>
      <c r="B64" s="566">
        <f>'7.1'!E23</f>
        <v>0.5</v>
      </c>
    </row>
    <row r="65" spans="1:2" ht="16.5" thickBot="1">
      <c r="A65" s="552" t="s">
        <v>450</v>
      </c>
      <c r="B65" s="565">
        <f>B66/B38</f>
        <v>0</v>
      </c>
    </row>
    <row r="66" spans="1:2" ht="16.5" thickBot="1">
      <c r="A66" s="551" t="s">
        <v>451</v>
      </c>
      <c r="B66" s="567">
        <f>'7.1'!N23</f>
        <v>0</v>
      </c>
    </row>
    <row r="67" spans="1:2" ht="15.75">
      <c r="A67" s="330" t="s">
        <v>452</v>
      </c>
      <c r="B67" s="541"/>
    </row>
    <row r="68" spans="1:2" ht="15.75">
      <c r="A68" s="544" t="s">
        <v>453</v>
      </c>
      <c r="B68" s="544" t="s">
        <v>642</v>
      </c>
    </row>
    <row r="69" spans="1:5" ht="15.75">
      <c r="A69" s="544" t="s">
        <v>455</v>
      </c>
      <c r="B69" s="637"/>
      <c r="D69" s="639"/>
      <c r="E69" s="639"/>
    </row>
    <row r="70" spans="1:2" ht="15.75">
      <c r="A70" s="544" t="s">
        <v>456</v>
      </c>
      <c r="B70" s="544"/>
    </row>
    <row r="71" spans="1:2" ht="15.75">
      <c r="A71" s="544" t="s">
        <v>457</v>
      </c>
      <c r="B71" s="637" t="s">
        <v>713</v>
      </c>
    </row>
    <row r="72" spans="1:2" ht="16.5" thickBot="1">
      <c r="A72" s="545" t="s">
        <v>458</v>
      </c>
      <c r="B72" s="545"/>
    </row>
    <row r="73" spans="1:2" ht="30.75" thickBot="1">
      <c r="A73" s="541" t="s">
        <v>460</v>
      </c>
      <c r="B73" s="526" t="s">
        <v>461</v>
      </c>
    </row>
    <row r="74" spans="1:2" ht="29.25" thickBot="1">
      <c r="A74" s="547" t="s">
        <v>462</v>
      </c>
      <c r="B74" s="526"/>
    </row>
    <row r="75" spans="1:2" ht="16.5" thickBot="1">
      <c r="A75" s="541" t="s">
        <v>301</v>
      </c>
      <c r="B75" s="540"/>
    </row>
    <row r="76" spans="1:2" ht="16.5" thickBot="1">
      <c r="A76" s="541" t="s">
        <v>463</v>
      </c>
      <c r="B76" s="526"/>
    </row>
    <row r="77" spans="1:2" ht="16.5" thickBot="1">
      <c r="A77" s="541" t="s">
        <v>464</v>
      </c>
      <c r="B77" s="540"/>
    </row>
    <row r="78" spans="1:2" ht="16.5" thickBot="1">
      <c r="A78" s="330" t="s">
        <v>465</v>
      </c>
      <c r="B78" s="541"/>
    </row>
    <row r="79" spans="1:2" ht="16.5" thickBot="1">
      <c r="A79" s="547" t="s">
        <v>466</v>
      </c>
      <c r="B79" s="541"/>
    </row>
    <row r="80" spans="1:2" ht="16.5" thickBot="1">
      <c r="A80" s="544" t="s">
        <v>467</v>
      </c>
      <c r="B80" s="540"/>
    </row>
    <row r="81" spans="1:2" ht="16.5" thickBot="1">
      <c r="A81" s="544" t="s">
        <v>468</v>
      </c>
      <c r="B81" s="540"/>
    </row>
    <row r="82" spans="1:2" ht="16.5" thickBot="1">
      <c r="A82" s="544" t="s">
        <v>469</v>
      </c>
      <c r="B82" s="540"/>
    </row>
    <row r="83" spans="1:2" ht="29.25" thickBot="1">
      <c r="A83" s="330" t="s">
        <v>470</v>
      </c>
      <c r="B83" s="540"/>
    </row>
    <row r="84" spans="1:2" ht="28.5">
      <c r="A84" s="330" t="s">
        <v>471</v>
      </c>
      <c r="B84" s="825"/>
    </row>
    <row r="85" spans="1:2" ht="15.75">
      <c r="A85" s="544" t="s">
        <v>472</v>
      </c>
      <c r="B85" s="826"/>
    </row>
    <row r="86" spans="1:2" ht="15.75">
      <c r="A86" s="544" t="s">
        <v>473</v>
      </c>
      <c r="B86" s="826"/>
    </row>
    <row r="87" spans="1:2" ht="15.75">
      <c r="A87" s="544" t="s">
        <v>474</v>
      </c>
      <c r="B87" s="826"/>
    </row>
    <row r="88" spans="1:2" ht="15.75">
      <c r="A88" s="544" t="s">
        <v>475</v>
      </c>
      <c r="B88" s="826"/>
    </row>
    <row r="89" spans="1:2" ht="16.5" thickBot="1">
      <c r="A89" s="555" t="s">
        <v>476</v>
      </c>
      <c r="B89" s="827"/>
    </row>
    <row r="91" spans="1:2" ht="15.75">
      <c r="A91" s="331" t="s">
        <v>477</v>
      </c>
      <c r="B91" s="331"/>
    </row>
    <row r="92" ht="15.75">
      <c r="A92" s="324" t="s">
        <v>478</v>
      </c>
    </row>
    <row r="93" ht="15.75">
      <c r="A93" s="324" t="s">
        <v>479</v>
      </c>
    </row>
    <row r="94" ht="15.75">
      <c r="A94" s="324" t="s">
        <v>480</v>
      </c>
    </row>
    <row r="95" ht="15.75">
      <c r="A95" s="324" t="s">
        <v>481</v>
      </c>
    </row>
    <row r="96" ht="15.75">
      <c r="A96" s="324" t="s">
        <v>482</v>
      </c>
    </row>
    <row r="97" ht="15.75">
      <c r="A97" s="324" t="s">
        <v>483</v>
      </c>
    </row>
    <row r="98" spans="1:2" ht="15.75">
      <c r="A98" s="828" t="s">
        <v>484</v>
      </c>
      <c r="B98" s="828"/>
    </row>
    <row r="100" spans="1:2" ht="15.75">
      <c r="A100" s="829" t="s">
        <v>485</v>
      </c>
      <c r="B100" s="829"/>
    </row>
    <row r="101" ht="15.75">
      <c r="B101" s="332"/>
    </row>
    <row r="102" ht="15.75">
      <c r="B102" s="33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C20" sqref="C20"/>
    </sheetView>
  </sheetViews>
  <sheetFormatPr defaultColWidth="9.00390625" defaultRowHeight="15.75"/>
  <cols>
    <col min="1" max="1" width="57.875" style="324" customWidth="1"/>
    <col min="2" max="2" width="58.125" style="324" customWidth="1"/>
    <col min="3" max="3" width="27.625" style="667" customWidth="1"/>
    <col min="4" max="5" width="9.00390625" style="326" customWidth="1"/>
    <col min="6" max="6" width="9.75390625" style="706" bestFit="1" customWidth="1"/>
    <col min="7" max="7" width="9.00390625" style="706" customWidth="1"/>
    <col min="8" max="16384" width="9.00390625" style="326" customWidth="1"/>
  </cols>
  <sheetData>
    <row r="1" ht="15.75">
      <c r="B1" s="325" t="s">
        <v>407</v>
      </c>
    </row>
    <row r="2" ht="15.75">
      <c r="B2" s="325" t="s">
        <v>37</v>
      </c>
    </row>
    <row r="3" ht="15.75">
      <c r="B3" s="303" t="s">
        <v>379</v>
      </c>
    </row>
    <row r="4" ht="15.75">
      <c r="B4" s="327"/>
    </row>
    <row r="5" ht="15.75">
      <c r="B5" s="3" t="s">
        <v>38</v>
      </c>
    </row>
    <row r="6" ht="15.75">
      <c r="B6" s="3" t="s">
        <v>698</v>
      </c>
    </row>
    <row r="7" ht="15.75">
      <c r="B7" s="3"/>
    </row>
    <row r="8" ht="15.75">
      <c r="B8" s="3" t="s">
        <v>667</v>
      </c>
    </row>
    <row r="9" ht="15.75">
      <c r="B9" s="3" t="s">
        <v>748</v>
      </c>
    </row>
    <row r="10" ht="15.75">
      <c r="B10" s="3" t="s">
        <v>42</v>
      </c>
    </row>
    <row r="11" ht="15.75">
      <c r="B11" s="328"/>
    </row>
    <row r="12" ht="15.75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tr">
        <f>'10 (ГСМ склад с.Тиличики)'!A14:B14</f>
        <v>"Реконструкция и развитие электроснабжения ОАО "Корякэнерго"</v>
      </c>
      <c r="B14" s="824"/>
    </row>
    <row r="15" ht="16.5" thickBot="1">
      <c r="B15" s="329"/>
    </row>
    <row r="16" spans="1:2" ht="16.5" thickBot="1">
      <c r="A16" s="546" t="s">
        <v>274</v>
      </c>
      <c r="B16" s="557" t="s">
        <v>396</v>
      </c>
    </row>
    <row r="17" spans="1:2" ht="16.5" thickBot="1">
      <c r="A17" s="546" t="s">
        <v>408</v>
      </c>
      <c r="B17" s="558" t="s">
        <v>496</v>
      </c>
    </row>
    <row r="18" spans="1:2" ht="16.5" thickBot="1">
      <c r="A18" s="546" t="s">
        <v>409</v>
      </c>
      <c r="B18" s="559" t="s">
        <v>494</v>
      </c>
    </row>
    <row r="19" spans="1:2" ht="16.5" thickBot="1">
      <c r="A19" s="546" t="s">
        <v>410</v>
      </c>
      <c r="B19" s="622" t="s">
        <v>637</v>
      </c>
    </row>
    <row r="20" spans="1:2" ht="16.5" thickBot="1">
      <c r="A20" s="547" t="s">
        <v>411</v>
      </c>
      <c r="B20" s="623" t="s">
        <v>489</v>
      </c>
    </row>
    <row r="21" spans="1:4" ht="30.75" thickBot="1">
      <c r="A21" s="548" t="s">
        <v>412</v>
      </c>
      <c r="B21" s="661" t="s">
        <v>714</v>
      </c>
      <c r="D21" s="658"/>
    </row>
    <row r="22" spans="1:2" ht="16.5" thickBot="1">
      <c r="A22" s="330" t="s">
        <v>413</v>
      </c>
      <c r="B22" s="526" t="s">
        <v>414</v>
      </c>
    </row>
    <row r="23" spans="1:2" ht="30.75" thickBot="1">
      <c r="A23" s="526" t="s">
        <v>415</v>
      </c>
      <c r="B23" s="535" t="s">
        <v>619</v>
      </c>
    </row>
    <row r="24" spans="1:2" ht="60.75" thickBot="1">
      <c r="A24" s="541" t="s">
        <v>416</v>
      </c>
      <c r="B24" s="526" t="s">
        <v>414</v>
      </c>
    </row>
    <row r="25" spans="1:2" ht="60.75" thickBot="1">
      <c r="A25" s="526" t="s">
        <v>417</v>
      </c>
      <c r="B25" s="526" t="s">
        <v>414</v>
      </c>
    </row>
    <row r="26" spans="1:2" ht="16.5" thickBot="1">
      <c r="A26" s="547" t="s">
        <v>418</v>
      </c>
      <c r="B26" s="526"/>
    </row>
    <row r="27" spans="1:2" ht="30.75" thickBot="1">
      <c r="A27" s="526" t="s">
        <v>419</v>
      </c>
      <c r="B27" s="526" t="s">
        <v>609</v>
      </c>
    </row>
    <row r="28" spans="1:2" ht="16.5" thickBot="1">
      <c r="A28" s="547" t="s">
        <v>420</v>
      </c>
      <c r="B28" s="526"/>
    </row>
    <row r="29" spans="1:2" ht="30.75" thickBot="1">
      <c r="A29" s="549" t="s">
        <v>421</v>
      </c>
      <c r="B29" s="526" t="s">
        <v>490</v>
      </c>
    </row>
    <row r="30" spans="1:2" ht="16.5" thickBot="1">
      <c r="A30" s="547" t="s">
        <v>422</v>
      </c>
      <c r="B30" s="560"/>
    </row>
    <row r="31" spans="1:2" ht="16.5" thickBot="1">
      <c r="A31" s="330" t="s">
        <v>424</v>
      </c>
      <c r="B31" s="561"/>
    </row>
    <row r="32" spans="1:2" ht="19.5" customHeight="1" thickBot="1">
      <c r="A32" s="547" t="s">
        <v>425</v>
      </c>
      <c r="B32" s="541"/>
    </row>
    <row r="33" spans="1:2" ht="28.5">
      <c r="A33" s="330" t="s">
        <v>426</v>
      </c>
      <c r="B33" s="541"/>
    </row>
    <row r="34" spans="1:2" ht="45">
      <c r="A34" s="544" t="s">
        <v>427</v>
      </c>
      <c r="B34" s="544" t="s">
        <v>414</v>
      </c>
    </row>
    <row r="35" spans="1:2" ht="15.75">
      <c r="A35" s="544" t="s">
        <v>428</v>
      </c>
      <c r="B35" s="544" t="s">
        <v>414</v>
      </c>
    </row>
    <row r="36" spans="1:2" ht="15.75">
      <c r="A36" s="544" t="s">
        <v>429</v>
      </c>
      <c r="B36" s="544" t="s">
        <v>414</v>
      </c>
    </row>
    <row r="37" spans="1:2" ht="16.5" thickBot="1">
      <c r="A37" s="550" t="s">
        <v>430</v>
      </c>
      <c r="B37" s="544" t="s">
        <v>414</v>
      </c>
    </row>
    <row r="38" spans="1:2" ht="16.5" thickBot="1">
      <c r="A38" s="551" t="s">
        <v>431</v>
      </c>
      <c r="B38" s="562">
        <f>B40</f>
        <v>5.594649007</v>
      </c>
    </row>
    <row r="39" spans="1:2" ht="16.5" thickBot="1">
      <c r="A39" s="526" t="s">
        <v>432</v>
      </c>
      <c r="B39" s="526" t="s">
        <v>433</v>
      </c>
    </row>
    <row r="40" spans="1:2" ht="29.25" thickBot="1">
      <c r="A40" s="552" t="s">
        <v>434</v>
      </c>
      <c r="B40" s="563">
        <f>B41</f>
        <v>5.594649007</v>
      </c>
    </row>
    <row r="41" spans="1:4" ht="29.25" thickBot="1">
      <c r="A41" s="552" t="s">
        <v>435</v>
      </c>
      <c r="B41" s="563">
        <f>B44+B54</f>
        <v>5.594649007</v>
      </c>
      <c r="D41" s="424"/>
    </row>
    <row r="42" spans="1:2" ht="16.5" thickBot="1">
      <c r="A42" s="535" t="s">
        <v>301</v>
      </c>
      <c r="B42" s="556"/>
    </row>
    <row r="43" spans="1:3" ht="30.75" thickBot="1">
      <c r="A43" s="552" t="s">
        <v>436</v>
      </c>
      <c r="B43" s="563" t="s">
        <v>587</v>
      </c>
      <c r="C43" s="669"/>
    </row>
    <row r="44" spans="1:2" ht="16.5" thickBot="1">
      <c r="A44" s="535" t="s">
        <v>438</v>
      </c>
      <c r="B44" s="563">
        <v>4.818069</v>
      </c>
    </row>
    <row r="45" spans="1:2" ht="16.5" thickBot="1">
      <c r="A45" s="535" t="s">
        <v>439</v>
      </c>
      <c r="B45" s="526"/>
    </row>
    <row r="46" spans="1:2" ht="16.5" thickBot="1">
      <c r="A46" s="535" t="s">
        <v>440</v>
      </c>
      <c r="B46" s="526"/>
    </row>
    <row r="47" spans="1:2" ht="16.5" thickBot="1">
      <c r="A47" s="535" t="s">
        <v>441</v>
      </c>
      <c r="B47" s="526"/>
    </row>
    <row r="48" spans="1:2" ht="29.25" thickBot="1">
      <c r="A48" s="552" t="s">
        <v>442</v>
      </c>
      <c r="B48" s="526"/>
    </row>
    <row r="49" spans="1:2" ht="16.5" thickBot="1">
      <c r="A49" s="535" t="s">
        <v>438</v>
      </c>
      <c r="B49" s="526"/>
    </row>
    <row r="50" spans="1:2" ht="16.5" thickBot="1">
      <c r="A50" s="535" t="s">
        <v>439</v>
      </c>
      <c r="B50" s="526"/>
    </row>
    <row r="51" spans="1:2" ht="16.5" thickBot="1">
      <c r="A51" s="535" t="s">
        <v>440</v>
      </c>
      <c r="B51" s="526"/>
    </row>
    <row r="52" spans="1:2" ht="16.5" thickBot="1">
      <c r="A52" s="535" t="s">
        <v>441</v>
      </c>
      <c r="B52" s="526"/>
    </row>
    <row r="53" spans="1:3" ht="29.25" thickBot="1">
      <c r="A53" s="552" t="s">
        <v>443</v>
      </c>
      <c r="B53" s="535" t="s">
        <v>594</v>
      </c>
      <c r="C53" s="669"/>
    </row>
    <row r="54" spans="1:2" ht="16.5" thickBot="1">
      <c r="A54" s="535" t="s">
        <v>438</v>
      </c>
      <c r="B54" s="563">
        <f>(0.42711865+0.231)*1.18</f>
        <v>0.776580007</v>
      </c>
    </row>
    <row r="55" spans="1:2" ht="16.5" thickBot="1">
      <c r="A55" s="535" t="s">
        <v>439</v>
      </c>
      <c r="B55" s="526"/>
    </row>
    <row r="56" spans="1:2" ht="16.5" thickBot="1">
      <c r="A56" s="535" t="s">
        <v>440</v>
      </c>
      <c r="B56" s="526"/>
    </row>
    <row r="57" spans="1:2" ht="16.5" thickBot="1">
      <c r="A57" s="535" t="s">
        <v>441</v>
      </c>
      <c r="B57" s="526"/>
    </row>
    <row r="58" spans="1:2" ht="29.25" thickBot="1">
      <c r="A58" s="553" t="s">
        <v>444</v>
      </c>
      <c r="B58" s="564"/>
    </row>
    <row r="59" spans="1:2" ht="16.5" thickBot="1">
      <c r="A59" s="554" t="s">
        <v>301</v>
      </c>
      <c r="B59" s="564"/>
    </row>
    <row r="60" spans="1:2" ht="16.5" thickBot="1">
      <c r="A60" s="554" t="s">
        <v>445</v>
      </c>
      <c r="B60" s="564"/>
    </row>
    <row r="61" spans="1:2" ht="16.5" thickBot="1">
      <c r="A61" s="554" t="s">
        <v>446</v>
      </c>
      <c r="B61" s="564"/>
    </row>
    <row r="62" spans="1:2" ht="16.5" thickBot="1">
      <c r="A62" s="554" t="s">
        <v>447</v>
      </c>
      <c r="B62" s="564"/>
    </row>
    <row r="63" spans="1:2" ht="16.5" thickBot="1">
      <c r="A63" s="552" t="s">
        <v>448</v>
      </c>
      <c r="B63" s="565">
        <f>B64/B38</f>
        <v>0.9999999999999999</v>
      </c>
    </row>
    <row r="64" spans="1:4" ht="16.5" thickBot="1">
      <c r="A64" s="552" t="s">
        <v>449</v>
      </c>
      <c r="B64" s="566">
        <v>5.594649006999999</v>
      </c>
      <c r="D64" s="424"/>
    </row>
    <row r="65" spans="1:4" ht="16.5" thickBot="1">
      <c r="A65" s="552" t="s">
        <v>450</v>
      </c>
      <c r="B65" s="565">
        <f>B66/B38</f>
        <v>0.9999999999999999</v>
      </c>
      <c r="D65" s="424"/>
    </row>
    <row r="66" spans="1:4" ht="16.5" thickBot="1">
      <c r="A66" s="551" t="s">
        <v>451</v>
      </c>
      <c r="B66" s="567">
        <v>5.594649006999999</v>
      </c>
      <c r="D66" s="424"/>
    </row>
    <row r="67" spans="1:2" ht="15.75">
      <c r="A67" s="330" t="s">
        <v>452</v>
      </c>
      <c r="B67" s="541"/>
    </row>
    <row r="68" spans="1:2" ht="15.75">
      <c r="A68" s="544" t="s">
        <v>453</v>
      </c>
      <c r="B68" s="544" t="s">
        <v>454</v>
      </c>
    </row>
    <row r="69" spans="1:2" ht="15.75">
      <c r="A69" s="544" t="s">
        <v>455</v>
      </c>
      <c r="B69" s="544"/>
    </row>
    <row r="70" spans="1:2" ht="15.75">
      <c r="A70" s="544" t="s">
        <v>456</v>
      </c>
      <c r="B70" s="544"/>
    </row>
    <row r="71" spans="1:2" ht="15.75">
      <c r="A71" s="544" t="s">
        <v>457</v>
      </c>
      <c r="B71" s="544" t="s">
        <v>610</v>
      </c>
    </row>
    <row r="72" spans="1:2" ht="16.5" thickBot="1">
      <c r="A72" s="545" t="s">
        <v>458</v>
      </c>
      <c r="B72" s="545"/>
    </row>
    <row r="73" spans="1:2" ht="30.75" thickBot="1">
      <c r="A73" s="541" t="s">
        <v>460</v>
      </c>
      <c r="B73" s="526" t="s">
        <v>461</v>
      </c>
    </row>
    <row r="74" spans="1:2" ht="29.25" thickBot="1">
      <c r="A74" s="547" t="s">
        <v>462</v>
      </c>
      <c r="B74" s="526"/>
    </row>
    <row r="75" spans="1:2" ht="16.5" thickBot="1">
      <c r="A75" s="541" t="s">
        <v>301</v>
      </c>
      <c r="B75" s="540"/>
    </row>
    <row r="76" spans="1:2" ht="16.5" thickBot="1">
      <c r="A76" s="541" t="s">
        <v>463</v>
      </c>
      <c r="B76" s="526">
        <v>2</v>
      </c>
    </row>
    <row r="77" spans="1:2" ht="16.5" thickBot="1">
      <c r="A77" s="541" t="s">
        <v>464</v>
      </c>
      <c r="B77" s="540">
        <v>4</v>
      </c>
    </row>
    <row r="78" spans="1:2" ht="16.5" thickBot="1">
      <c r="A78" s="330" t="s">
        <v>465</v>
      </c>
      <c r="B78" s="541"/>
    </row>
    <row r="79" spans="1:2" ht="16.5" thickBot="1">
      <c r="A79" s="547" t="s">
        <v>466</v>
      </c>
      <c r="B79" s="541"/>
    </row>
    <row r="80" spans="1:2" ht="16.5" thickBot="1">
      <c r="A80" s="544" t="s">
        <v>467</v>
      </c>
      <c r="B80" s="540"/>
    </row>
    <row r="81" spans="1:2" ht="16.5" thickBot="1">
      <c r="A81" s="544" t="s">
        <v>468</v>
      </c>
      <c r="B81" s="540"/>
    </row>
    <row r="82" spans="1:2" ht="16.5" thickBot="1">
      <c r="A82" s="544" t="s">
        <v>469</v>
      </c>
      <c r="B82" s="540"/>
    </row>
    <row r="83" spans="1:4" ht="30.75" thickBot="1">
      <c r="A83" s="330" t="s">
        <v>470</v>
      </c>
      <c r="B83" s="661" t="s">
        <v>714</v>
      </c>
      <c r="D83" s="659"/>
    </row>
    <row r="84" spans="1:2" ht="28.5">
      <c r="A84" s="330" t="s">
        <v>471</v>
      </c>
      <c r="B84" s="825"/>
    </row>
    <row r="85" spans="1:2" ht="15.75">
      <c r="A85" s="544" t="s">
        <v>472</v>
      </c>
      <c r="B85" s="826"/>
    </row>
    <row r="86" spans="1:2" ht="15.75">
      <c r="A86" s="544" t="s">
        <v>473</v>
      </c>
      <c r="B86" s="826"/>
    </row>
    <row r="87" spans="1:2" ht="15.75">
      <c r="A87" s="544" t="s">
        <v>474</v>
      </c>
      <c r="B87" s="826"/>
    </row>
    <row r="88" spans="1:2" ht="15.75">
      <c r="A88" s="544" t="s">
        <v>475</v>
      </c>
      <c r="B88" s="826"/>
    </row>
    <row r="89" spans="1:2" ht="16.5" thickBot="1">
      <c r="A89" s="555" t="s">
        <v>476</v>
      </c>
      <c r="B89" s="827"/>
    </row>
    <row r="91" spans="1:2" ht="15.75">
      <c r="A91" s="331" t="s">
        <v>477</v>
      </c>
      <c r="B91" s="331"/>
    </row>
    <row r="92" ht="15.75">
      <c r="A92" s="324" t="s">
        <v>478</v>
      </c>
    </row>
    <row r="93" ht="15.75">
      <c r="A93" s="324" t="s">
        <v>479</v>
      </c>
    </row>
    <row r="94" ht="15.75">
      <c r="A94" s="324" t="s">
        <v>480</v>
      </c>
    </row>
    <row r="95" ht="15.75">
      <c r="A95" s="324" t="s">
        <v>481</v>
      </c>
    </row>
    <row r="96" ht="15.75">
      <c r="A96" s="324" t="s">
        <v>482</v>
      </c>
    </row>
    <row r="97" ht="15.75">
      <c r="A97" s="324" t="s">
        <v>483</v>
      </c>
    </row>
    <row r="98" spans="1:2" ht="15.75">
      <c r="A98" s="828" t="s">
        <v>484</v>
      </c>
      <c r="B98" s="828"/>
    </row>
    <row r="100" spans="1:2" ht="15.75">
      <c r="A100" s="829" t="s">
        <v>485</v>
      </c>
      <c r="B100" s="829"/>
    </row>
    <row r="101" ht="15.75">
      <c r="B101" s="332"/>
    </row>
    <row r="102" ht="15.75">
      <c r="B102" s="33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D16" sqref="D16"/>
    </sheetView>
  </sheetViews>
  <sheetFormatPr defaultColWidth="9.00390625" defaultRowHeight="15.75"/>
  <cols>
    <col min="1" max="1" width="57.875" style="324" customWidth="1"/>
    <col min="2" max="2" width="58.125" style="324" customWidth="1"/>
    <col min="3" max="3" width="13.375" style="665" customWidth="1"/>
    <col min="4" max="4" width="33.50390625" style="667" customWidth="1"/>
    <col min="5" max="5" width="9.75390625" style="705" bestFit="1" customWidth="1"/>
    <col min="6" max="6" width="9.00390625" style="705" customWidth="1"/>
    <col min="7" max="16384" width="9.00390625" style="326" customWidth="1"/>
  </cols>
  <sheetData>
    <row r="1" ht="15.75">
      <c r="B1" s="325" t="s">
        <v>407</v>
      </c>
    </row>
    <row r="2" ht="15.75">
      <c r="B2" s="325" t="s">
        <v>37</v>
      </c>
    </row>
    <row r="3" ht="15.75">
      <c r="B3" s="303" t="s">
        <v>379</v>
      </c>
    </row>
    <row r="4" ht="15.75">
      <c r="B4" s="327"/>
    </row>
    <row r="5" ht="15.75">
      <c r="B5" s="3" t="s">
        <v>38</v>
      </c>
    </row>
    <row r="6" ht="15.75">
      <c r="B6" s="3" t="s">
        <v>698</v>
      </c>
    </row>
    <row r="7" ht="15.75">
      <c r="B7" s="3"/>
    </row>
    <row r="8" ht="15.75">
      <c r="B8" s="3" t="s">
        <v>667</v>
      </c>
    </row>
    <row r="9" ht="15.75">
      <c r="B9" s="3" t="s">
        <v>748</v>
      </c>
    </row>
    <row r="10" ht="15.75">
      <c r="B10" s="3" t="s">
        <v>42</v>
      </c>
    </row>
    <row r="11" ht="15.75">
      <c r="B11" s="328"/>
    </row>
    <row r="12" ht="15.75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tr">
        <f>'10 (ГСМ склад с.Апука) '!A14:B14</f>
        <v>"Реконструкция и развитие электроснабжения ОАО "Корякэнерго"</v>
      </c>
      <c r="B14" s="824"/>
    </row>
    <row r="15" ht="16.5" thickBot="1">
      <c r="B15" s="329"/>
    </row>
    <row r="16" spans="1:2" ht="30.75" customHeight="1" thickBot="1">
      <c r="A16" s="546" t="s">
        <v>274</v>
      </c>
      <c r="B16" s="568" t="s">
        <v>385</v>
      </c>
    </row>
    <row r="17" spans="1:2" ht="16.5" thickBot="1">
      <c r="A17" s="546" t="s">
        <v>408</v>
      </c>
      <c r="B17" s="558" t="s">
        <v>498</v>
      </c>
    </row>
    <row r="18" spans="1:2" ht="16.5" thickBot="1">
      <c r="A18" s="546" t="s">
        <v>409</v>
      </c>
      <c r="B18" s="559" t="s">
        <v>499</v>
      </c>
    </row>
    <row r="19" spans="1:2" ht="16.5" thickBot="1">
      <c r="A19" s="546" t="s">
        <v>410</v>
      </c>
      <c r="B19" s="622" t="s">
        <v>678</v>
      </c>
    </row>
    <row r="20" spans="1:2" ht="16.5" thickBot="1">
      <c r="A20" s="547" t="s">
        <v>411</v>
      </c>
      <c r="B20" s="623" t="s">
        <v>679</v>
      </c>
    </row>
    <row r="21" spans="1:2" ht="16.5" thickBot="1">
      <c r="A21" s="548" t="s">
        <v>412</v>
      </c>
      <c r="B21" s="660" t="s">
        <v>732</v>
      </c>
    </row>
    <row r="22" spans="1:2" ht="16.5" thickBot="1">
      <c r="A22" s="330" t="s">
        <v>413</v>
      </c>
      <c r="B22" s="535"/>
    </row>
    <row r="23" spans="1:2" ht="30.75" thickBot="1">
      <c r="A23" s="526" t="s">
        <v>415</v>
      </c>
      <c r="B23" s="535" t="s">
        <v>619</v>
      </c>
    </row>
    <row r="24" spans="1:2" ht="60.75" thickBot="1">
      <c r="A24" s="541" t="s">
        <v>416</v>
      </c>
      <c r="B24" s="535" t="s">
        <v>719</v>
      </c>
    </row>
    <row r="25" spans="1:2" ht="60.75" thickBot="1">
      <c r="A25" s="526" t="s">
        <v>417</v>
      </c>
      <c r="B25" s="535" t="s">
        <v>414</v>
      </c>
    </row>
    <row r="26" spans="1:2" ht="16.5" thickBot="1">
      <c r="A26" s="547" t="s">
        <v>418</v>
      </c>
      <c r="B26" s="526"/>
    </row>
    <row r="27" spans="1:2" ht="30.75" thickBot="1">
      <c r="A27" s="526" t="s">
        <v>419</v>
      </c>
      <c r="B27" s="526" t="s">
        <v>643</v>
      </c>
    </row>
    <row r="28" spans="1:2" ht="16.5" thickBot="1">
      <c r="A28" s="547" t="s">
        <v>420</v>
      </c>
      <c r="B28" s="526"/>
    </row>
    <row r="29" spans="1:4" ht="45.75" thickBot="1">
      <c r="A29" s="549" t="s">
        <v>421</v>
      </c>
      <c r="B29" s="662" t="s">
        <v>716</v>
      </c>
      <c r="D29" s="681"/>
    </row>
    <row r="30" spans="1:2" ht="16.5" thickBot="1">
      <c r="A30" s="547" t="s">
        <v>422</v>
      </c>
      <c r="B30" s="560" t="s">
        <v>423</v>
      </c>
    </row>
    <row r="31" spans="1:2" ht="16.5" thickBot="1">
      <c r="A31" s="330" t="s">
        <v>424</v>
      </c>
      <c r="B31" s="561" t="s">
        <v>500</v>
      </c>
    </row>
    <row r="32" spans="1:2" ht="20.25" customHeight="1" thickBot="1">
      <c r="A32" s="547" t="s">
        <v>425</v>
      </c>
      <c r="B32" s="541" t="s">
        <v>492</v>
      </c>
    </row>
    <row r="33" spans="1:2" ht="28.5">
      <c r="A33" s="330" t="s">
        <v>426</v>
      </c>
      <c r="B33" s="541"/>
    </row>
    <row r="34" spans="1:2" ht="45">
      <c r="A34" s="544" t="s">
        <v>427</v>
      </c>
      <c r="B34" s="544" t="s">
        <v>414</v>
      </c>
    </row>
    <row r="35" spans="1:2" ht="15.75">
      <c r="A35" s="544" t="s">
        <v>428</v>
      </c>
      <c r="B35" s="544" t="s">
        <v>414</v>
      </c>
    </row>
    <row r="36" spans="1:2" ht="15.75">
      <c r="A36" s="544" t="s">
        <v>429</v>
      </c>
      <c r="B36" s="544" t="s">
        <v>414</v>
      </c>
    </row>
    <row r="37" spans="1:2" ht="16.5" thickBot="1">
      <c r="A37" s="550" t="s">
        <v>430</v>
      </c>
      <c r="B37" s="544" t="s">
        <v>414</v>
      </c>
    </row>
    <row r="38" spans="1:2" ht="16.5" thickBot="1">
      <c r="A38" s="551" t="s">
        <v>431</v>
      </c>
      <c r="B38" s="562">
        <v>104.067</v>
      </c>
    </row>
    <row r="39" spans="1:2" ht="16.5" thickBot="1">
      <c r="A39" s="526" t="s">
        <v>432</v>
      </c>
      <c r="B39" s="526" t="s">
        <v>433</v>
      </c>
    </row>
    <row r="40" spans="1:2" ht="29.25" thickBot="1">
      <c r="A40" s="552" t="s">
        <v>434</v>
      </c>
      <c r="B40" s="563">
        <f>B41</f>
        <v>89.77937901</v>
      </c>
    </row>
    <row r="41" spans="1:2" ht="29.25" thickBot="1">
      <c r="A41" s="552" t="s">
        <v>435</v>
      </c>
      <c r="B41" s="563">
        <f>B44+B54</f>
        <v>89.77937901</v>
      </c>
    </row>
    <row r="42" spans="1:2" ht="16.5" thickBot="1">
      <c r="A42" s="535" t="s">
        <v>301</v>
      </c>
      <c r="B42" s="556"/>
    </row>
    <row r="43" spans="1:4" ht="30.75" thickBot="1">
      <c r="A43" s="552" t="s">
        <v>436</v>
      </c>
      <c r="B43" s="563" t="s">
        <v>611</v>
      </c>
      <c r="D43" s="669"/>
    </row>
    <row r="44" spans="1:2" ht="16.5" thickBot="1">
      <c r="A44" s="535" t="s">
        <v>438</v>
      </c>
      <c r="B44" s="563">
        <v>89.62749</v>
      </c>
    </row>
    <row r="45" spans="1:2" ht="16.5" thickBot="1">
      <c r="A45" s="535" t="s">
        <v>439</v>
      </c>
      <c r="B45" s="526"/>
    </row>
    <row r="46" spans="1:2" ht="16.5" thickBot="1">
      <c r="A46" s="535" t="s">
        <v>440</v>
      </c>
      <c r="B46" s="526"/>
    </row>
    <row r="47" spans="1:2" ht="16.5" thickBot="1">
      <c r="A47" s="535" t="s">
        <v>441</v>
      </c>
      <c r="B47" s="526"/>
    </row>
    <row r="48" spans="1:2" ht="29.25" thickBot="1">
      <c r="A48" s="552" t="s">
        <v>442</v>
      </c>
      <c r="B48" s="526"/>
    </row>
    <row r="49" spans="1:2" ht="16.5" thickBot="1">
      <c r="A49" s="535" t="s">
        <v>438</v>
      </c>
      <c r="B49" s="526"/>
    </row>
    <row r="50" spans="1:2" ht="16.5" thickBot="1">
      <c r="A50" s="535" t="s">
        <v>439</v>
      </c>
      <c r="B50" s="526"/>
    </row>
    <row r="51" spans="1:2" ht="16.5" thickBot="1">
      <c r="A51" s="535" t="s">
        <v>440</v>
      </c>
      <c r="B51" s="526"/>
    </row>
    <row r="52" spans="1:2" ht="16.5" thickBot="1">
      <c r="A52" s="535" t="s">
        <v>441</v>
      </c>
      <c r="B52" s="526"/>
    </row>
    <row r="53" spans="1:4" ht="30.75" thickBot="1">
      <c r="A53" s="552" t="s">
        <v>443</v>
      </c>
      <c r="B53" s="563" t="s">
        <v>644</v>
      </c>
      <c r="C53" s="665" t="s">
        <v>618</v>
      </c>
      <c r="D53" s="669"/>
    </row>
    <row r="54" spans="1:2" ht="16.5" thickBot="1">
      <c r="A54" s="535" t="s">
        <v>438</v>
      </c>
      <c r="B54" s="563">
        <v>0.15188901</v>
      </c>
    </row>
    <row r="55" spans="1:2" ht="16.5" thickBot="1">
      <c r="A55" s="535" t="s">
        <v>439</v>
      </c>
      <c r="B55" s="526"/>
    </row>
    <row r="56" spans="1:2" ht="16.5" thickBot="1">
      <c r="A56" s="535" t="s">
        <v>440</v>
      </c>
      <c r="B56" s="526"/>
    </row>
    <row r="57" spans="1:2" ht="16.5" thickBot="1">
      <c r="A57" s="535" t="s">
        <v>441</v>
      </c>
      <c r="B57" s="526"/>
    </row>
    <row r="58" spans="1:2" ht="29.25" thickBot="1">
      <c r="A58" s="553" t="s">
        <v>444</v>
      </c>
      <c r="B58" s="564"/>
    </row>
    <row r="59" spans="1:2" ht="16.5" thickBot="1">
      <c r="A59" s="554" t="s">
        <v>301</v>
      </c>
      <c r="B59" s="564"/>
    </row>
    <row r="60" spans="1:2" ht="16.5" thickBot="1">
      <c r="A60" s="554" t="s">
        <v>445</v>
      </c>
      <c r="B60" s="564"/>
    </row>
    <row r="61" spans="1:2" ht="16.5" thickBot="1">
      <c r="A61" s="554" t="s">
        <v>446</v>
      </c>
      <c r="B61" s="564"/>
    </row>
    <row r="62" spans="1:2" ht="16.5" thickBot="1">
      <c r="A62" s="554" t="s">
        <v>447</v>
      </c>
      <c r="B62" s="564"/>
    </row>
    <row r="63" spans="1:2" ht="16.5" thickBot="1">
      <c r="A63" s="552" t="s">
        <v>448</v>
      </c>
      <c r="B63" s="565">
        <f>B64/B38</f>
        <v>0.29027698434662286</v>
      </c>
    </row>
    <row r="64" spans="1:4" ht="16.5" thickBot="1">
      <c r="A64" s="552" t="s">
        <v>449</v>
      </c>
      <c r="B64" s="566">
        <v>30.20825493</v>
      </c>
      <c r="D64" s="682"/>
    </row>
    <row r="65" spans="1:2" ht="16.5" thickBot="1">
      <c r="A65" s="552" t="s">
        <v>450</v>
      </c>
      <c r="B65" s="565">
        <f>B66/B38</f>
        <v>0.15769018391997464</v>
      </c>
    </row>
    <row r="66" spans="1:4" ht="16.5" thickBot="1">
      <c r="A66" s="551" t="s">
        <v>451</v>
      </c>
      <c r="B66" s="567">
        <v>16.41034437</v>
      </c>
      <c r="D66" s="683"/>
    </row>
    <row r="67" spans="1:2" ht="15.75">
      <c r="A67" s="330" t="s">
        <v>452</v>
      </c>
      <c r="B67" s="541"/>
    </row>
    <row r="68" spans="1:2" ht="15.75">
      <c r="A68" s="544" t="s">
        <v>453</v>
      </c>
      <c r="B68" s="544" t="s">
        <v>454</v>
      </c>
    </row>
    <row r="69" spans="1:2" ht="15.75">
      <c r="A69" s="544" t="s">
        <v>455</v>
      </c>
      <c r="B69" s="637" t="s">
        <v>612</v>
      </c>
    </row>
    <row r="70" spans="1:2" ht="15.75">
      <c r="A70" s="544" t="s">
        <v>456</v>
      </c>
      <c r="B70" s="544"/>
    </row>
    <row r="71" spans="1:2" ht="15.75">
      <c r="A71" s="544" t="s">
        <v>457</v>
      </c>
      <c r="B71" s="544" t="s">
        <v>612</v>
      </c>
    </row>
    <row r="72" spans="1:2" ht="16.5" thickBot="1">
      <c r="A72" s="545" t="s">
        <v>458</v>
      </c>
      <c r="B72" s="545" t="s">
        <v>613</v>
      </c>
    </row>
    <row r="73" spans="1:2" ht="30.75" thickBot="1">
      <c r="A73" s="541" t="s">
        <v>460</v>
      </c>
      <c r="B73" s="526" t="s">
        <v>461</v>
      </c>
    </row>
    <row r="74" spans="1:2" ht="29.25" thickBot="1">
      <c r="A74" s="547" t="s">
        <v>462</v>
      </c>
      <c r="B74" s="526"/>
    </row>
    <row r="75" spans="1:2" ht="16.5" thickBot="1">
      <c r="A75" s="541" t="s">
        <v>301</v>
      </c>
      <c r="B75" s="540"/>
    </row>
    <row r="76" spans="1:2" ht="16.5" thickBot="1">
      <c r="A76" s="541" t="s">
        <v>463</v>
      </c>
      <c r="B76" s="526"/>
    </row>
    <row r="77" spans="1:2" ht="16.5" thickBot="1">
      <c r="A77" s="541" t="s">
        <v>464</v>
      </c>
      <c r="B77" s="540">
        <v>2</v>
      </c>
    </row>
    <row r="78" spans="1:2" ht="16.5" thickBot="1">
      <c r="A78" s="330" t="s">
        <v>465</v>
      </c>
      <c r="B78" s="541"/>
    </row>
    <row r="79" spans="1:2" ht="16.5" thickBot="1">
      <c r="A79" s="547" t="s">
        <v>466</v>
      </c>
      <c r="B79" s="541"/>
    </row>
    <row r="80" spans="1:2" ht="16.5" thickBot="1">
      <c r="A80" s="544" t="s">
        <v>467</v>
      </c>
      <c r="B80" s="540"/>
    </row>
    <row r="81" spans="1:2" ht="16.5" thickBot="1">
      <c r="A81" s="544" t="s">
        <v>468</v>
      </c>
      <c r="B81" s="540"/>
    </row>
    <row r="82" spans="1:2" ht="16.5" thickBot="1">
      <c r="A82" s="544" t="s">
        <v>469</v>
      </c>
      <c r="B82" s="540"/>
    </row>
    <row r="83" spans="1:2" ht="29.25" thickBot="1">
      <c r="A83" s="330" t="s">
        <v>470</v>
      </c>
      <c r="B83" s="540"/>
    </row>
    <row r="84" spans="1:2" ht="28.5">
      <c r="A84" s="330" t="s">
        <v>471</v>
      </c>
      <c r="B84" s="825"/>
    </row>
    <row r="85" spans="1:2" ht="15.75">
      <c r="A85" s="544" t="s">
        <v>472</v>
      </c>
      <c r="B85" s="826"/>
    </row>
    <row r="86" spans="1:2" ht="15.75">
      <c r="A86" s="544" t="s">
        <v>473</v>
      </c>
      <c r="B86" s="826"/>
    </row>
    <row r="87" spans="1:2" ht="15.75">
      <c r="A87" s="544" t="s">
        <v>474</v>
      </c>
      <c r="B87" s="826"/>
    </row>
    <row r="88" spans="1:2" ht="15.75">
      <c r="A88" s="544" t="s">
        <v>475</v>
      </c>
      <c r="B88" s="826"/>
    </row>
    <row r="89" spans="1:2" ht="16.5" thickBot="1">
      <c r="A89" s="555" t="s">
        <v>476</v>
      </c>
      <c r="B89" s="827"/>
    </row>
    <row r="91" spans="1:2" ht="15.75">
      <c r="A91" s="331" t="s">
        <v>477</v>
      </c>
      <c r="B91" s="331"/>
    </row>
    <row r="92" ht="15.75">
      <c r="A92" s="324" t="s">
        <v>478</v>
      </c>
    </row>
    <row r="93" ht="15.75">
      <c r="A93" s="324" t="s">
        <v>479</v>
      </c>
    </row>
    <row r="94" ht="15.75">
      <c r="A94" s="324" t="s">
        <v>480</v>
      </c>
    </row>
    <row r="95" ht="15.75">
      <c r="A95" s="324" t="s">
        <v>481</v>
      </c>
    </row>
    <row r="96" ht="15.75">
      <c r="A96" s="324" t="s">
        <v>482</v>
      </c>
    </row>
    <row r="97" ht="15.75">
      <c r="A97" s="324" t="s">
        <v>483</v>
      </c>
    </row>
    <row r="98" spans="1:2" ht="15.75">
      <c r="A98" s="828" t="s">
        <v>484</v>
      </c>
      <c r="B98" s="828"/>
    </row>
    <row r="100" spans="1:2" ht="15.75">
      <c r="A100" s="829" t="s">
        <v>485</v>
      </c>
      <c r="B100" s="829"/>
    </row>
    <row r="101" ht="15.75">
      <c r="B101" s="332"/>
    </row>
    <row r="102" ht="15.75">
      <c r="B102" s="33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C13" sqref="C13"/>
    </sheetView>
  </sheetViews>
  <sheetFormatPr defaultColWidth="9.00390625" defaultRowHeight="15.75"/>
  <cols>
    <col min="1" max="1" width="57.875" style="324" customWidth="1"/>
    <col min="2" max="2" width="58.125" style="324" customWidth="1"/>
    <col min="3" max="3" width="22.00390625" style="665" customWidth="1"/>
    <col min="4" max="4" width="27.625" style="667" customWidth="1"/>
    <col min="5" max="5" width="9.75390625" style="707" bestFit="1" customWidth="1"/>
    <col min="6" max="6" width="9.00390625" style="707" customWidth="1"/>
    <col min="7" max="9" width="9.00390625" style="665" customWidth="1"/>
    <col min="10" max="16384" width="9.00390625" style="326" customWidth="1"/>
  </cols>
  <sheetData>
    <row r="1" ht="15.75">
      <c r="B1" s="325" t="s">
        <v>407</v>
      </c>
    </row>
    <row r="2" ht="15.75">
      <c r="B2" s="325" t="s">
        <v>37</v>
      </c>
    </row>
    <row r="3" ht="15.75">
      <c r="B3" s="303" t="s">
        <v>379</v>
      </c>
    </row>
    <row r="4" ht="15.75">
      <c r="B4" s="327"/>
    </row>
    <row r="5" ht="15.75">
      <c r="B5" s="3" t="s">
        <v>38</v>
      </c>
    </row>
    <row r="6" ht="15.75">
      <c r="B6" s="3" t="s">
        <v>698</v>
      </c>
    </row>
    <row r="7" ht="15.75">
      <c r="B7" s="3"/>
    </row>
    <row r="8" ht="15.75">
      <c r="B8" s="3" t="s">
        <v>667</v>
      </c>
    </row>
    <row r="9" ht="15.75">
      <c r="B9" s="3" t="s">
        <v>748</v>
      </c>
    </row>
    <row r="10" ht="15.75">
      <c r="B10" s="3" t="s">
        <v>42</v>
      </c>
    </row>
    <row r="11" ht="15.75">
      <c r="B11" s="328"/>
    </row>
    <row r="12" ht="15.75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tr">
        <f>'10 (ДЭС с.Пахачи) '!A14:B14</f>
        <v>"Реконструкция и развитие электроснабжения ОАО "Корякэнерго"</v>
      </c>
      <c r="B14" s="824"/>
    </row>
    <row r="15" ht="16.5" thickBot="1">
      <c r="B15" s="329"/>
    </row>
    <row r="16" spans="1:2" ht="30.75" customHeight="1" thickBot="1">
      <c r="A16" s="546" t="s">
        <v>274</v>
      </c>
      <c r="B16" s="568" t="str">
        <f>'7.1'!B26</f>
        <v>Реконструкция электроснабжения с. Усть-Хайрюзово (техническое перевооружение ДЭС)</v>
      </c>
    </row>
    <row r="17" spans="1:2" ht="16.5" thickBot="1">
      <c r="A17" s="546" t="s">
        <v>408</v>
      </c>
      <c r="B17" s="558" t="s">
        <v>645</v>
      </c>
    </row>
    <row r="18" spans="1:2" ht="16.5" thickBot="1">
      <c r="A18" s="546" t="s">
        <v>409</v>
      </c>
      <c r="B18" s="559" t="s">
        <v>499</v>
      </c>
    </row>
    <row r="19" spans="1:2" ht="16.5" thickBot="1">
      <c r="A19" s="546" t="s">
        <v>410</v>
      </c>
      <c r="B19" s="622" t="s">
        <v>680</v>
      </c>
    </row>
    <row r="20" spans="1:2" ht="16.5" thickBot="1">
      <c r="A20" s="547" t="s">
        <v>411</v>
      </c>
      <c r="B20" s="623" t="s">
        <v>682</v>
      </c>
    </row>
    <row r="21" spans="1:2" ht="30.75" thickBot="1">
      <c r="A21" s="548" t="s">
        <v>412</v>
      </c>
      <c r="B21" s="660" t="s">
        <v>735</v>
      </c>
    </row>
    <row r="22" spans="1:2" ht="16.5" thickBot="1">
      <c r="A22" s="330" t="s">
        <v>413</v>
      </c>
      <c r="B22" s="526"/>
    </row>
    <row r="23" spans="1:2" ht="30.75" thickBot="1">
      <c r="A23" s="526" t="s">
        <v>415</v>
      </c>
      <c r="B23" s="535" t="s">
        <v>619</v>
      </c>
    </row>
    <row r="24" spans="1:2" ht="60.75" thickBot="1">
      <c r="A24" s="541" t="s">
        <v>416</v>
      </c>
      <c r="B24" s="535" t="s">
        <v>720</v>
      </c>
    </row>
    <row r="25" spans="1:2" ht="60.75" thickBot="1">
      <c r="A25" s="526" t="s">
        <v>417</v>
      </c>
      <c r="B25" s="535" t="s">
        <v>414</v>
      </c>
    </row>
    <row r="26" spans="1:2" ht="16.5" thickBot="1">
      <c r="A26" s="547" t="s">
        <v>418</v>
      </c>
      <c r="B26" s="526"/>
    </row>
    <row r="27" spans="1:2" ht="30.75" thickBot="1">
      <c r="A27" s="526" t="s">
        <v>419</v>
      </c>
      <c r="B27" s="526" t="s">
        <v>414</v>
      </c>
    </row>
    <row r="28" spans="1:2" ht="16.5" thickBot="1">
      <c r="A28" s="547" t="s">
        <v>420</v>
      </c>
      <c r="B28" s="526"/>
    </row>
    <row r="29" spans="1:2" ht="30.75" thickBot="1">
      <c r="A29" s="549" t="s">
        <v>421</v>
      </c>
      <c r="B29" s="526" t="s">
        <v>414</v>
      </c>
    </row>
    <row r="30" spans="1:2" ht="16.5" thickBot="1">
      <c r="A30" s="547" t="s">
        <v>422</v>
      </c>
      <c r="B30" s="560" t="s">
        <v>423</v>
      </c>
    </row>
    <row r="31" spans="1:2" ht="16.5" thickBot="1">
      <c r="A31" s="330" t="s">
        <v>424</v>
      </c>
      <c r="B31" s="561" t="s">
        <v>648</v>
      </c>
    </row>
    <row r="32" spans="1:2" ht="20.25" customHeight="1" thickBot="1">
      <c r="A32" s="547" t="s">
        <v>425</v>
      </c>
      <c r="B32" s="541" t="s">
        <v>649</v>
      </c>
    </row>
    <row r="33" spans="1:2" ht="28.5">
      <c r="A33" s="330" t="s">
        <v>426</v>
      </c>
      <c r="B33" s="541"/>
    </row>
    <row r="34" spans="1:2" ht="45">
      <c r="A34" s="544" t="s">
        <v>427</v>
      </c>
      <c r="B34" s="544" t="s">
        <v>414</v>
      </c>
    </row>
    <row r="35" spans="1:2" ht="15.75">
      <c r="A35" s="544" t="s">
        <v>428</v>
      </c>
      <c r="B35" s="544" t="s">
        <v>414</v>
      </c>
    </row>
    <row r="36" spans="1:2" ht="15.75">
      <c r="A36" s="544" t="s">
        <v>429</v>
      </c>
      <c r="B36" s="544" t="s">
        <v>414</v>
      </c>
    </row>
    <row r="37" spans="1:2" ht="16.5" thickBot="1">
      <c r="A37" s="550" t="s">
        <v>430</v>
      </c>
      <c r="B37" s="544" t="s">
        <v>414</v>
      </c>
    </row>
    <row r="38" spans="1:2" ht="16.5" thickBot="1">
      <c r="A38" s="551" t="s">
        <v>431</v>
      </c>
      <c r="B38" s="562">
        <v>125.292</v>
      </c>
    </row>
    <row r="39" spans="1:2" ht="16.5" thickBot="1">
      <c r="A39" s="526" t="s">
        <v>432</v>
      </c>
      <c r="B39" s="526" t="s">
        <v>433</v>
      </c>
    </row>
    <row r="40" spans="1:2" ht="29.25" thickBot="1">
      <c r="A40" s="552" t="s">
        <v>434</v>
      </c>
      <c r="B40" s="563">
        <f>B41</f>
        <v>136.09289762</v>
      </c>
    </row>
    <row r="41" spans="1:2" ht="29.25" thickBot="1">
      <c r="A41" s="552" t="s">
        <v>435</v>
      </c>
      <c r="B41" s="563">
        <f>B44+B49</f>
        <v>136.09289762</v>
      </c>
    </row>
    <row r="42" spans="1:2" ht="16.5" thickBot="1">
      <c r="A42" s="535" t="s">
        <v>301</v>
      </c>
      <c r="B42" s="556"/>
    </row>
    <row r="43" spans="1:4" ht="38.25" customHeight="1" thickBot="1">
      <c r="A43" s="552" t="s">
        <v>436</v>
      </c>
      <c r="B43" s="563" t="s">
        <v>659</v>
      </c>
      <c r="C43" s="665" t="s">
        <v>703</v>
      </c>
      <c r="D43" s="669"/>
    </row>
    <row r="44" spans="1:2" ht="16.5" thickBot="1">
      <c r="A44" s="535" t="s">
        <v>438</v>
      </c>
      <c r="B44" s="563">
        <v>4.38193442</v>
      </c>
    </row>
    <row r="45" spans="1:2" ht="16.5" thickBot="1">
      <c r="A45" s="535" t="s">
        <v>439</v>
      </c>
      <c r="B45" s="526"/>
    </row>
    <row r="46" spans="1:2" ht="16.5" thickBot="1">
      <c r="A46" s="535" t="s">
        <v>440</v>
      </c>
      <c r="B46" s="526"/>
    </row>
    <row r="47" spans="1:2" ht="16.5" thickBot="1">
      <c r="A47" s="535" t="s">
        <v>441</v>
      </c>
      <c r="B47" s="526"/>
    </row>
    <row r="48" spans="1:4" ht="45.75" thickBot="1">
      <c r="A48" s="552" t="s">
        <v>442</v>
      </c>
      <c r="B48" s="535" t="s">
        <v>665</v>
      </c>
      <c r="D48" s="669"/>
    </row>
    <row r="49" spans="1:2" ht="16.5" thickBot="1">
      <c r="A49" s="535" t="s">
        <v>438</v>
      </c>
      <c r="B49" s="599">
        <f>131.7109632</f>
        <v>131.7109632</v>
      </c>
    </row>
    <row r="50" spans="1:2" ht="16.5" thickBot="1">
      <c r="A50" s="535" t="s">
        <v>439</v>
      </c>
      <c r="B50" s="526"/>
    </row>
    <row r="51" spans="1:2" ht="16.5" thickBot="1">
      <c r="A51" s="535" t="s">
        <v>440</v>
      </c>
      <c r="B51" s="526"/>
    </row>
    <row r="52" spans="1:2" ht="16.5" thickBot="1">
      <c r="A52" s="535" t="s">
        <v>441</v>
      </c>
      <c r="B52" s="526"/>
    </row>
    <row r="53" spans="1:2" ht="29.25" thickBot="1">
      <c r="A53" s="552" t="s">
        <v>443</v>
      </c>
      <c r="B53" s="556"/>
    </row>
    <row r="54" spans="1:2" ht="16.5" thickBot="1">
      <c r="A54" s="535" t="s">
        <v>438</v>
      </c>
      <c r="B54" s="563"/>
    </row>
    <row r="55" spans="1:2" ht="16.5" thickBot="1">
      <c r="A55" s="535" t="s">
        <v>439</v>
      </c>
      <c r="B55" s="526"/>
    </row>
    <row r="56" spans="1:2" ht="16.5" thickBot="1">
      <c r="A56" s="535" t="s">
        <v>440</v>
      </c>
      <c r="B56" s="526"/>
    </row>
    <row r="57" spans="1:2" ht="16.5" thickBot="1">
      <c r="A57" s="535" t="s">
        <v>441</v>
      </c>
      <c r="B57" s="526"/>
    </row>
    <row r="58" spans="1:2" ht="29.25" thickBot="1">
      <c r="A58" s="553" t="s">
        <v>444</v>
      </c>
      <c r="B58" s="564"/>
    </row>
    <row r="59" spans="1:2" ht="16.5" thickBot="1">
      <c r="A59" s="554" t="s">
        <v>301</v>
      </c>
      <c r="B59" s="564"/>
    </row>
    <row r="60" spans="1:2" ht="16.5" thickBot="1">
      <c r="A60" s="554" t="s">
        <v>445</v>
      </c>
      <c r="B60" s="564"/>
    </row>
    <row r="61" spans="1:2" ht="16.5" thickBot="1">
      <c r="A61" s="554" t="s">
        <v>446</v>
      </c>
      <c r="B61" s="564"/>
    </row>
    <row r="62" spans="1:2" ht="16.5" thickBot="1">
      <c r="A62" s="554" t="s">
        <v>447</v>
      </c>
      <c r="B62" s="564"/>
    </row>
    <row r="63" spans="1:2" ht="16.5" thickBot="1">
      <c r="A63" s="552" t="s">
        <v>448</v>
      </c>
      <c r="B63" s="565">
        <f>B64/B38</f>
        <v>0.35390060355010694</v>
      </c>
    </row>
    <row r="64" spans="1:4" ht="16.5" thickBot="1">
      <c r="A64" s="552" t="s">
        <v>449</v>
      </c>
      <c r="B64" s="566">
        <f>'7.1'!E26</f>
        <v>44.34091442</v>
      </c>
      <c r="D64" s="667">
        <f>'7.1'!E26</f>
        <v>44.34091442</v>
      </c>
    </row>
    <row r="65" spans="1:2" ht="16.5" thickBot="1">
      <c r="A65" s="552" t="s">
        <v>450</v>
      </c>
      <c r="B65" s="565">
        <f>B66/B38</f>
        <v>0.44788338213293744</v>
      </c>
    </row>
    <row r="66" spans="1:4" ht="16.5" thickBot="1">
      <c r="A66" s="551" t="s">
        <v>451</v>
      </c>
      <c r="B66" s="567">
        <f>'7.1'!N26</f>
        <v>56.116204714199995</v>
      </c>
      <c r="D66" s="667">
        <f>'7.1'!N26</f>
        <v>56.116204714199995</v>
      </c>
    </row>
    <row r="67" spans="1:2" ht="15.75">
      <c r="A67" s="330" t="s">
        <v>452</v>
      </c>
      <c r="B67" s="541"/>
    </row>
    <row r="68" spans="1:2" ht="15.75">
      <c r="A68" s="544" t="s">
        <v>453</v>
      </c>
      <c r="B68" s="544" t="s">
        <v>642</v>
      </c>
    </row>
    <row r="69" spans="1:2" ht="15.75">
      <c r="A69" s="544" t="s">
        <v>455</v>
      </c>
      <c r="B69" s="544" t="s">
        <v>647</v>
      </c>
    </row>
    <row r="70" spans="1:2" ht="15.75">
      <c r="A70" s="544" t="s">
        <v>456</v>
      </c>
      <c r="B70" s="544"/>
    </row>
    <row r="71" spans="1:2" ht="15.75">
      <c r="A71" s="544" t="s">
        <v>457</v>
      </c>
      <c r="B71" s="637" t="s">
        <v>704</v>
      </c>
    </row>
    <row r="72" spans="1:2" ht="16.5" thickBot="1">
      <c r="A72" s="545" t="s">
        <v>458</v>
      </c>
      <c r="B72" s="545"/>
    </row>
    <row r="73" spans="1:2" ht="30.75" thickBot="1">
      <c r="A73" s="541" t="s">
        <v>460</v>
      </c>
      <c r="B73" s="526" t="s">
        <v>461</v>
      </c>
    </row>
    <row r="74" spans="1:2" ht="29.25" thickBot="1">
      <c r="A74" s="547" t="s">
        <v>462</v>
      </c>
      <c r="B74" s="526"/>
    </row>
    <row r="75" spans="1:2" ht="16.5" thickBot="1">
      <c r="A75" s="541" t="s">
        <v>301</v>
      </c>
      <c r="B75" s="540"/>
    </row>
    <row r="76" spans="1:2" ht="16.5" thickBot="1">
      <c r="A76" s="541" t="s">
        <v>463</v>
      </c>
      <c r="B76" s="526"/>
    </row>
    <row r="77" spans="1:2" ht="16.5" thickBot="1">
      <c r="A77" s="541" t="s">
        <v>464</v>
      </c>
      <c r="B77" s="540"/>
    </row>
    <row r="78" spans="1:2" ht="16.5" thickBot="1">
      <c r="A78" s="330" t="s">
        <v>465</v>
      </c>
      <c r="B78" s="541"/>
    </row>
    <row r="79" spans="1:2" ht="16.5" thickBot="1">
      <c r="A79" s="547" t="s">
        <v>466</v>
      </c>
      <c r="B79" s="541"/>
    </row>
    <row r="80" spans="1:2" ht="16.5" thickBot="1">
      <c r="A80" s="544" t="s">
        <v>467</v>
      </c>
      <c r="B80" s="540"/>
    </row>
    <row r="81" spans="1:2" ht="16.5" thickBot="1">
      <c r="A81" s="544" t="s">
        <v>468</v>
      </c>
      <c r="B81" s="540"/>
    </row>
    <row r="82" spans="1:2" ht="16.5" thickBot="1">
      <c r="A82" s="544" t="s">
        <v>469</v>
      </c>
      <c r="B82" s="540"/>
    </row>
    <row r="83" spans="1:2" ht="29.25" thickBot="1">
      <c r="A83" s="330" t="s">
        <v>470</v>
      </c>
      <c r="B83" s="540"/>
    </row>
    <row r="84" spans="1:2" ht="28.5">
      <c r="A84" s="330" t="s">
        <v>471</v>
      </c>
      <c r="B84" s="825"/>
    </row>
    <row r="85" spans="1:2" ht="15.75">
      <c r="A85" s="544" t="s">
        <v>472</v>
      </c>
      <c r="B85" s="826"/>
    </row>
    <row r="86" spans="1:2" ht="15.75">
      <c r="A86" s="544" t="s">
        <v>473</v>
      </c>
      <c r="B86" s="826"/>
    </row>
    <row r="87" spans="1:2" ht="15.75">
      <c r="A87" s="544" t="s">
        <v>474</v>
      </c>
      <c r="B87" s="826"/>
    </row>
    <row r="88" spans="1:2" ht="15.75">
      <c r="A88" s="544" t="s">
        <v>475</v>
      </c>
      <c r="B88" s="826"/>
    </row>
    <row r="89" spans="1:2" ht="16.5" thickBot="1">
      <c r="A89" s="555" t="s">
        <v>476</v>
      </c>
      <c r="B89" s="827"/>
    </row>
    <row r="91" spans="1:2" ht="15.75">
      <c r="A91" s="331" t="s">
        <v>477</v>
      </c>
      <c r="B91" s="331"/>
    </row>
    <row r="92" ht="15.75">
      <c r="A92" s="324" t="s">
        <v>478</v>
      </c>
    </row>
    <row r="93" ht="15.75">
      <c r="A93" s="324" t="s">
        <v>479</v>
      </c>
    </row>
    <row r="94" ht="15.75">
      <c r="A94" s="324" t="s">
        <v>480</v>
      </c>
    </row>
    <row r="95" ht="15.75">
      <c r="A95" s="324" t="s">
        <v>481</v>
      </c>
    </row>
    <row r="96" ht="15.75">
      <c r="A96" s="324" t="s">
        <v>482</v>
      </c>
    </row>
    <row r="97" ht="15.75">
      <c r="A97" s="324" t="s">
        <v>483</v>
      </c>
    </row>
    <row r="98" spans="1:2" ht="15.75">
      <c r="A98" s="828" t="s">
        <v>484</v>
      </c>
      <c r="B98" s="828"/>
    </row>
    <row r="100" spans="1:2" ht="15.75">
      <c r="A100" s="829" t="s">
        <v>485</v>
      </c>
      <c r="B100" s="829"/>
    </row>
    <row r="101" ht="15.75">
      <c r="B101" s="332"/>
    </row>
    <row r="102" ht="15.75">
      <c r="B102" s="33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1">
      <selection activeCell="D20" sqref="D20"/>
    </sheetView>
  </sheetViews>
  <sheetFormatPr defaultColWidth="9.00390625" defaultRowHeight="15.75"/>
  <cols>
    <col min="1" max="1" width="57.875" style="324" customWidth="1"/>
    <col min="2" max="2" width="58.125" style="324" customWidth="1"/>
    <col min="3" max="3" width="28.375" style="667" customWidth="1"/>
    <col min="4" max="6" width="9.00390625" style="326" customWidth="1"/>
    <col min="7" max="7" width="9.75390625" style="705" bestFit="1" customWidth="1"/>
    <col min="8" max="8" width="9.00390625" style="705" customWidth="1"/>
    <col min="9" max="16384" width="9.00390625" style="326" customWidth="1"/>
  </cols>
  <sheetData>
    <row r="1" ht="15.75">
      <c r="B1" s="325" t="s">
        <v>407</v>
      </c>
    </row>
    <row r="2" ht="15.75">
      <c r="B2" s="325" t="s">
        <v>37</v>
      </c>
    </row>
    <row r="3" ht="15.75">
      <c r="B3" s="303" t="s">
        <v>379</v>
      </c>
    </row>
    <row r="4" ht="15.75">
      <c r="B4" s="327"/>
    </row>
    <row r="5" ht="15.75">
      <c r="B5" s="3" t="s">
        <v>38</v>
      </c>
    </row>
    <row r="6" ht="15.75">
      <c r="B6" s="3" t="s">
        <v>698</v>
      </c>
    </row>
    <row r="7" ht="15.75">
      <c r="B7" s="3"/>
    </row>
    <row r="8" ht="15.75">
      <c r="B8" s="3" t="s">
        <v>667</v>
      </c>
    </row>
    <row r="9" ht="15.75">
      <c r="B9" s="3" t="s">
        <v>748</v>
      </c>
    </row>
    <row r="10" ht="15.75">
      <c r="B10" s="3" t="s">
        <v>42</v>
      </c>
    </row>
    <row r="11" ht="15.75">
      <c r="B11" s="328"/>
    </row>
    <row r="12" ht="15.75">
      <c r="B12" s="328"/>
    </row>
    <row r="13" spans="1:2" ht="30.75" customHeight="1">
      <c r="A13" s="822" t="s">
        <v>726</v>
      </c>
      <c r="B13" s="823"/>
    </row>
    <row r="14" spans="1:2" ht="32.25" customHeight="1">
      <c r="A14" s="824" t="str">
        <f>'10 (ДЭС с.Усть-Хайрюзово)'!A14:B14</f>
        <v>"Реконструкция и развитие электроснабжения ОАО "Корякэнерго"</v>
      </c>
      <c r="B14" s="824"/>
    </row>
    <row r="15" ht="16.5" thickBot="1">
      <c r="B15" s="329"/>
    </row>
    <row r="16" spans="1:2" ht="25.5" customHeight="1" thickBot="1">
      <c r="A16" s="546" t="s">
        <v>274</v>
      </c>
      <c r="B16" s="557" t="str">
        <f>'7.1'!B27</f>
        <v>Установка одного ДГУ на ДЭС-16 п.Средние Пахачи</v>
      </c>
    </row>
    <row r="17" spans="1:2" ht="16.5" thickBot="1">
      <c r="A17" s="546" t="s">
        <v>408</v>
      </c>
      <c r="B17" s="558" t="s">
        <v>650</v>
      </c>
    </row>
    <row r="18" spans="1:2" ht="16.5" thickBot="1">
      <c r="A18" s="546" t="s">
        <v>409</v>
      </c>
      <c r="B18" s="559" t="s">
        <v>651</v>
      </c>
    </row>
    <row r="19" spans="1:2" ht="16.5" thickBot="1">
      <c r="A19" s="546" t="s">
        <v>410</v>
      </c>
      <c r="B19" s="622" t="s">
        <v>681</v>
      </c>
    </row>
    <row r="20" spans="1:2" ht="16.5" thickBot="1">
      <c r="A20" s="547" t="s">
        <v>411</v>
      </c>
      <c r="B20" s="623" t="s">
        <v>702</v>
      </c>
    </row>
    <row r="21" spans="1:4" ht="16.5" thickBot="1">
      <c r="A21" s="548" t="s">
        <v>412</v>
      </c>
      <c r="B21" s="660" t="s">
        <v>705</v>
      </c>
      <c r="D21" s="639"/>
    </row>
    <row r="22" spans="1:2" ht="16.5" thickBot="1">
      <c r="A22" s="330" t="s">
        <v>413</v>
      </c>
      <c r="B22" s="526" t="s">
        <v>414</v>
      </c>
    </row>
    <row r="23" spans="1:2" ht="30.75" thickBot="1">
      <c r="A23" s="526" t="s">
        <v>415</v>
      </c>
      <c r="B23" s="535" t="s">
        <v>619</v>
      </c>
    </row>
    <row r="24" spans="1:2" ht="60.75" thickBot="1">
      <c r="A24" s="541" t="s">
        <v>416</v>
      </c>
      <c r="B24" s="535" t="s">
        <v>414</v>
      </c>
    </row>
    <row r="25" spans="1:2" ht="60.75" thickBot="1">
      <c r="A25" s="526" t="s">
        <v>417</v>
      </c>
      <c r="B25" s="526" t="s">
        <v>414</v>
      </c>
    </row>
    <row r="26" spans="1:2" ht="16.5" thickBot="1">
      <c r="A26" s="547" t="s">
        <v>418</v>
      </c>
      <c r="B26" s="526"/>
    </row>
    <row r="27" spans="1:2" ht="30.75" thickBot="1">
      <c r="A27" s="526" t="s">
        <v>419</v>
      </c>
      <c r="B27" s="526" t="s">
        <v>414</v>
      </c>
    </row>
    <row r="28" spans="1:2" ht="16.5" thickBot="1">
      <c r="A28" s="547" t="s">
        <v>420</v>
      </c>
      <c r="B28" s="526"/>
    </row>
    <row r="29" spans="1:2" ht="30.75" thickBot="1">
      <c r="A29" s="549" t="s">
        <v>421</v>
      </c>
      <c r="B29" s="526" t="s">
        <v>414</v>
      </c>
    </row>
    <row r="30" spans="1:2" ht="16.5" thickBot="1">
      <c r="A30" s="547" t="s">
        <v>422</v>
      </c>
      <c r="B30" s="560" t="s">
        <v>423</v>
      </c>
    </row>
    <row r="31" spans="1:2" ht="16.5" thickBot="1">
      <c r="A31" s="330" t="s">
        <v>424</v>
      </c>
      <c r="B31" s="561" t="s">
        <v>652</v>
      </c>
    </row>
    <row r="32" spans="1:2" ht="18.75" customHeight="1" thickBot="1">
      <c r="A32" s="547" t="s">
        <v>425</v>
      </c>
      <c r="B32" s="579" t="s">
        <v>649</v>
      </c>
    </row>
    <row r="33" spans="1:2" ht="28.5">
      <c r="A33" s="330" t="s">
        <v>426</v>
      </c>
      <c r="B33" s="541"/>
    </row>
    <row r="34" spans="1:2" ht="45">
      <c r="A34" s="544" t="s">
        <v>427</v>
      </c>
      <c r="B34" s="544" t="s">
        <v>414</v>
      </c>
    </row>
    <row r="35" spans="1:2" ht="15.75">
      <c r="A35" s="544" t="s">
        <v>428</v>
      </c>
      <c r="B35" s="544" t="s">
        <v>414</v>
      </c>
    </row>
    <row r="36" spans="1:2" ht="15.75">
      <c r="A36" s="544" t="s">
        <v>429</v>
      </c>
      <c r="B36" s="544" t="s">
        <v>414</v>
      </c>
    </row>
    <row r="37" spans="1:2" ht="16.5" thickBot="1">
      <c r="A37" s="550" t="s">
        <v>430</v>
      </c>
      <c r="B37" s="544" t="s">
        <v>414</v>
      </c>
    </row>
    <row r="38" spans="1:2" ht="16.5" thickBot="1">
      <c r="A38" s="551" t="s">
        <v>431</v>
      </c>
      <c r="B38" s="562">
        <v>9.04</v>
      </c>
    </row>
    <row r="39" spans="1:2" ht="16.5" thickBot="1">
      <c r="A39" s="526" t="s">
        <v>432</v>
      </c>
      <c r="B39" s="526" t="s">
        <v>433</v>
      </c>
    </row>
    <row r="40" spans="1:2" ht="29.25" thickBot="1">
      <c r="A40" s="552" t="s">
        <v>434</v>
      </c>
      <c r="B40" s="563">
        <f>B41</f>
        <v>7.491727</v>
      </c>
    </row>
    <row r="41" spans="1:2" ht="29.25" thickBot="1">
      <c r="A41" s="552" t="s">
        <v>435</v>
      </c>
      <c r="B41" s="563">
        <f>B49+B44</f>
        <v>7.491727</v>
      </c>
    </row>
    <row r="42" spans="1:2" ht="16.5" thickBot="1">
      <c r="A42" s="535" t="s">
        <v>301</v>
      </c>
      <c r="B42" s="556"/>
    </row>
    <row r="43" spans="1:3" ht="30.75" thickBot="1">
      <c r="A43" s="552" t="s">
        <v>436</v>
      </c>
      <c r="B43" s="563" t="s">
        <v>734</v>
      </c>
      <c r="C43" s="669"/>
    </row>
    <row r="44" spans="1:2" ht="16.5" thickBot="1">
      <c r="A44" s="535" t="s">
        <v>438</v>
      </c>
      <c r="B44" s="563">
        <v>0.368431</v>
      </c>
    </row>
    <row r="45" spans="1:2" ht="16.5" thickBot="1">
      <c r="A45" s="535" t="s">
        <v>439</v>
      </c>
      <c r="B45" s="526"/>
    </row>
    <row r="46" spans="1:2" ht="16.5" thickBot="1">
      <c r="A46" s="535" t="s">
        <v>440</v>
      </c>
      <c r="B46" s="526"/>
    </row>
    <row r="47" spans="1:2" ht="16.5" thickBot="1">
      <c r="A47" s="535" t="s">
        <v>441</v>
      </c>
      <c r="B47" s="526"/>
    </row>
    <row r="48" spans="1:3" ht="30.75" thickBot="1">
      <c r="A48" s="552" t="s">
        <v>442</v>
      </c>
      <c r="B48" s="535" t="s">
        <v>653</v>
      </c>
      <c r="C48" s="669"/>
    </row>
    <row r="49" spans="1:2" ht="16.5" thickBot="1">
      <c r="A49" s="535" t="s">
        <v>438</v>
      </c>
      <c r="B49" s="563">
        <v>7.123296</v>
      </c>
    </row>
    <row r="50" spans="1:2" ht="16.5" thickBot="1">
      <c r="A50" s="535" t="s">
        <v>439</v>
      </c>
      <c r="B50" s="526"/>
    </row>
    <row r="51" spans="1:2" ht="16.5" thickBot="1">
      <c r="A51" s="535" t="s">
        <v>440</v>
      </c>
      <c r="B51" s="526"/>
    </row>
    <row r="52" spans="1:2" ht="16.5" thickBot="1">
      <c r="A52" s="535" t="s">
        <v>441</v>
      </c>
      <c r="B52" s="526"/>
    </row>
    <row r="53" spans="1:2" ht="29.25" thickBot="1">
      <c r="A53" s="552" t="s">
        <v>443</v>
      </c>
      <c r="B53" s="556"/>
    </row>
    <row r="54" spans="1:2" ht="16.5" thickBot="1">
      <c r="A54" s="535" t="s">
        <v>438</v>
      </c>
      <c r="B54" s="563"/>
    </row>
    <row r="55" spans="1:2" ht="16.5" thickBot="1">
      <c r="A55" s="535" t="s">
        <v>439</v>
      </c>
      <c r="B55" s="526"/>
    </row>
    <row r="56" spans="1:2" ht="16.5" thickBot="1">
      <c r="A56" s="535" t="s">
        <v>440</v>
      </c>
      <c r="B56" s="526"/>
    </row>
    <row r="57" spans="1:2" ht="16.5" thickBot="1">
      <c r="A57" s="535" t="s">
        <v>441</v>
      </c>
      <c r="B57" s="526"/>
    </row>
    <row r="58" spans="1:2" ht="29.25" thickBot="1">
      <c r="A58" s="553" t="s">
        <v>444</v>
      </c>
      <c r="B58" s="564"/>
    </row>
    <row r="59" spans="1:2" ht="16.5" thickBot="1">
      <c r="A59" s="554" t="s">
        <v>301</v>
      </c>
      <c r="B59" s="564"/>
    </row>
    <row r="60" spans="1:2" ht="16.5" thickBot="1">
      <c r="A60" s="554" t="s">
        <v>445</v>
      </c>
      <c r="B60" s="564"/>
    </row>
    <row r="61" spans="1:2" ht="16.5" thickBot="1">
      <c r="A61" s="554" t="s">
        <v>446</v>
      </c>
      <c r="B61" s="564"/>
    </row>
    <row r="62" spans="1:2" ht="16.5" thickBot="1">
      <c r="A62" s="554" t="s">
        <v>447</v>
      </c>
      <c r="B62" s="564"/>
    </row>
    <row r="63" spans="1:2" ht="16.5" thickBot="1">
      <c r="A63" s="552" t="s">
        <v>448</v>
      </c>
      <c r="B63" s="565">
        <f>B64/B38</f>
        <v>0.7879752212389382</v>
      </c>
    </row>
    <row r="64" spans="1:2" ht="16.5" thickBot="1">
      <c r="A64" s="552" t="s">
        <v>449</v>
      </c>
      <c r="B64" s="566">
        <f>'7.1'!E27</f>
        <v>7.123296</v>
      </c>
    </row>
    <row r="65" spans="1:2" ht="16.5" thickBot="1">
      <c r="A65" s="552" t="s">
        <v>450</v>
      </c>
      <c r="B65" s="565">
        <f>B66/B38</f>
        <v>0.7027918141592921</v>
      </c>
    </row>
    <row r="66" spans="1:2" ht="16.5" thickBot="1">
      <c r="A66" s="551" t="s">
        <v>451</v>
      </c>
      <c r="B66" s="567">
        <f>'7.1'!N27</f>
        <v>6.353238</v>
      </c>
    </row>
    <row r="67" spans="1:2" ht="15.75">
      <c r="A67" s="330" t="s">
        <v>452</v>
      </c>
      <c r="B67" s="541"/>
    </row>
    <row r="68" spans="1:2" ht="15.75">
      <c r="A68" s="544" t="s">
        <v>453</v>
      </c>
      <c r="B68" s="544" t="s">
        <v>454</v>
      </c>
    </row>
    <row r="69" spans="1:2" ht="15.75">
      <c r="A69" s="544" t="s">
        <v>455</v>
      </c>
      <c r="B69" s="544"/>
    </row>
    <row r="70" spans="1:2" ht="15.75">
      <c r="A70" s="544" t="s">
        <v>456</v>
      </c>
      <c r="B70" s="544"/>
    </row>
    <row r="71" spans="1:2" ht="15.75">
      <c r="A71" s="544" t="s">
        <v>457</v>
      </c>
      <c r="B71" s="544"/>
    </row>
    <row r="72" spans="1:2" ht="16.5" thickBot="1">
      <c r="A72" s="545" t="s">
        <v>458</v>
      </c>
      <c r="B72" s="545" t="s">
        <v>654</v>
      </c>
    </row>
    <row r="73" spans="1:2" ht="30.75" thickBot="1">
      <c r="A73" s="541" t="s">
        <v>460</v>
      </c>
      <c r="B73" s="526" t="s">
        <v>461</v>
      </c>
    </row>
    <row r="74" spans="1:2" ht="29.25" thickBot="1">
      <c r="A74" s="547" t="s">
        <v>462</v>
      </c>
      <c r="B74" s="526"/>
    </row>
    <row r="75" spans="1:2" ht="16.5" thickBot="1">
      <c r="A75" s="541" t="s">
        <v>301</v>
      </c>
      <c r="B75" s="540"/>
    </row>
    <row r="76" spans="1:2" ht="16.5" thickBot="1">
      <c r="A76" s="541" t="s">
        <v>463</v>
      </c>
      <c r="B76" s="526"/>
    </row>
    <row r="77" spans="1:2" ht="16.5" thickBot="1">
      <c r="A77" s="541" t="s">
        <v>464</v>
      </c>
      <c r="B77" s="540"/>
    </row>
    <row r="78" spans="1:2" ht="16.5" thickBot="1">
      <c r="A78" s="330" t="s">
        <v>465</v>
      </c>
      <c r="B78" s="541"/>
    </row>
    <row r="79" spans="1:2" ht="16.5" thickBot="1">
      <c r="A79" s="547" t="s">
        <v>466</v>
      </c>
      <c r="B79" s="541"/>
    </row>
    <row r="80" spans="1:2" ht="16.5" thickBot="1">
      <c r="A80" s="544" t="s">
        <v>467</v>
      </c>
      <c r="B80" s="540"/>
    </row>
    <row r="81" spans="1:2" ht="16.5" thickBot="1">
      <c r="A81" s="544" t="s">
        <v>468</v>
      </c>
      <c r="B81" s="540"/>
    </row>
    <row r="82" spans="1:2" ht="16.5" thickBot="1">
      <c r="A82" s="544" t="s">
        <v>469</v>
      </c>
      <c r="B82" s="540"/>
    </row>
    <row r="83" spans="1:2" ht="29.25" thickBot="1">
      <c r="A83" s="330" t="s">
        <v>470</v>
      </c>
      <c r="B83" s="540"/>
    </row>
    <row r="84" spans="1:2" ht="28.5">
      <c r="A84" s="330" t="s">
        <v>471</v>
      </c>
      <c r="B84" s="825"/>
    </row>
    <row r="85" spans="1:2" ht="15.75">
      <c r="A85" s="544" t="s">
        <v>472</v>
      </c>
      <c r="B85" s="826"/>
    </row>
    <row r="86" spans="1:2" ht="15.75">
      <c r="A86" s="544" t="s">
        <v>473</v>
      </c>
      <c r="B86" s="826"/>
    </row>
    <row r="87" spans="1:2" ht="15.75">
      <c r="A87" s="544" t="s">
        <v>474</v>
      </c>
      <c r="B87" s="826"/>
    </row>
    <row r="88" spans="1:2" ht="15.75">
      <c r="A88" s="544" t="s">
        <v>475</v>
      </c>
      <c r="B88" s="826"/>
    </row>
    <row r="89" spans="1:2" ht="16.5" thickBot="1">
      <c r="A89" s="555" t="s">
        <v>476</v>
      </c>
      <c r="B89" s="827"/>
    </row>
    <row r="91" spans="1:2" ht="15.75">
      <c r="A91" s="331" t="s">
        <v>477</v>
      </c>
      <c r="B91" s="331"/>
    </row>
    <row r="92" ht="15.75">
      <c r="A92" s="324" t="s">
        <v>478</v>
      </c>
    </row>
    <row r="93" ht="15.75">
      <c r="A93" s="324" t="s">
        <v>479</v>
      </c>
    </row>
    <row r="94" ht="15.75">
      <c r="A94" s="324" t="s">
        <v>480</v>
      </c>
    </row>
    <row r="95" ht="15.75">
      <c r="A95" s="324" t="s">
        <v>481</v>
      </c>
    </row>
    <row r="96" ht="15.75">
      <c r="A96" s="324" t="s">
        <v>482</v>
      </c>
    </row>
    <row r="97" ht="15.75">
      <c r="A97" s="324" t="s">
        <v>483</v>
      </c>
    </row>
    <row r="98" spans="1:2" ht="15.75">
      <c r="A98" s="828" t="s">
        <v>484</v>
      </c>
      <c r="B98" s="828"/>
    </row>
    <row r="100" spans="1:2" ht="15.75">
      <c r="A100" s="829" t="s">
        <v>485</v>
      </c>
      <c r="B100" s="829"/>
    </row>
    <row r="101" ht="15.75">
      <c r="B101" s="332"/>
    </row>
    <row r="102" ht="15.75">
      <c r="B102" s="333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3"/>
  <sheetViews>
    <sheetView view="pageBreakPreview" zoomScale="75" zoomScaleNormal="80" zoomScaleSheetLayoutView="75" zoomScalePageLayoutView="0" workbookViewId="0" topLeftCell="A1">
      <selection activeCell="P13" sqref="P13"/>
    </sheetView>
  </sheetViews>
  <sheetFormatPr defaultColWidth="9.00390625" defaultRowHeight="15.75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15.625" style="334" customWidth="1"/>
    <col min="10" max="14" width="7.875" style="334" customWidth="1"/>
    <col min="15" max="15" width="9.00390625" style="334" customWidth="1"/>
    <col min="16" max="16384" width="9.00390625" style="111" customWidth="1"/>
  </cols>
  <sheetData>
    <row r="1" spans="1:14" ht="15.75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5.75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8.75" customHeight="1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8.75">
      <c r="M5" s="324"/>
      <c r="N5" s="297" t="s">
        <v>38</v>
      </c>
    </row>
    <row r="6" spans="13:14" s="326" customFormat="1" ht="18.75">
      <c r="M6" s="324"/>
      <c r="N6" s="297" t="s">
        <v>698</v>
      </c>
    </row>
    <row r="7" spans="13:14" s="326" customFormat="1" ht="18.75">
      <c r="M7" s="324"/>
      <c r="N7" s="297"/>
    </row>
    <row r="8" spans="13:14" s="326" customFormat="1" ht="18.75">
      <c r="M8" s="324"/>
      <c r="N8" s="297" t="s">
        <v>667</v>
      </c>
    </row>
    <row r="9" spans="13:14" s="326" customFormat="1" ht="18.75">
      <c r="M9" s="324"/>
      <c r="N9" s="297" t="s">
        <v>748</v>
      </c>
    </row>
    <row r="10" spans="13:14" s="326" customFormat="1" ht="18.75">
      <c r="M10" s="324"/>
      <c r="N10" s="297" t="s">
        <v>42</v>
      </c>
    </row>
    <row r="11" spans="1:14" ht="33" customHeight="1">
      <c r="A11" s="849" t="s">
        <v>727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51" t="s">
        <v>688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</row>
    <row r="13" spans="1:9" ht="15.75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thickBot="1">
      <c r="A15" s="853" t="s">
        <v>737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s="362" customFormat="1" ht="15.75">
      <c r="A22" s="466" t="s">
        <v>515</v>
      </c>
      <c r="B22" s="467" t="s">
        <v>516</v>
      </c>
      <c r="C22" s="468">
        <v>41640</v>
      </c>
      <c r="D22" s="468">
        <v>41699</v>
      </c>
      <c r="E22" s="468">
        <v>41640</v>
      </c>
      <c r="F22" s="468">
        <v>41699</v>
      </c>
      <c r="G22" s="469">
        <v>100</v>
      </c>
      <c r="H22" s="469">
        <v>100</v>
      </c>
      <c r="I22" s="469"/>
      <c r="J22" s="470"/>
      <c r="K22" s="471"/>
      <c r="L22" s="471"/>
      <c r="M22" s="471"/>
      <c r="N22" s="472"/>
    </row>
    <row r="23" spans="1:14" s="362" customFormat="1" ht="27.75" customHeight="1">
      <c r="A23" s="347" t="s">
        <v>543</v>
      </c>
      <c r="B23" s="348" t="s">
        <v>544</v>
      </c>
      <c r="C23" s="349">
        <v>41699</v>
      </c>
      <c r="D23" s="349">
        <v>41730</v>
      </c>
      <c r="E23" s="349">
        <v>41699</v>
      </c>
      <c r="F23" s="349">
        <v>41730</v>
      </c>
      <c r="G23" s="358">
        <v>100</v>
      </c>
      <c r="H23" s="358">
        <v>100</v>
      </c>
      <c r="I23" s="358"/>
      <c r="J23" s="359"/>
      <c r="K23" s="360"/>
      <c r="L23" s="360"/>
      <c r="M23" s="360"/>
      <c r="N23" s="361"/>
    </row>
    <row r="24" spans="1:17" s="362" customFormat="1" ht="15.75">
      <c r="A24" s="347" t="s">
        <v>519</v>
      </c>
      <c r="B24" s="348" t="s">
        <v>520</v>
      </c>
      <c r="C24" s="349">
        <v>41760</v>
      </c>
      <c r="D24" s="349">
        <v>41883</v>
      </c>
      <c r="E24" s="349">
        <v>41760</v>
      </c>
      <c r="F24" s="349">
        <v>41821</v>
      </c>
      <c r="G24" s="358">
        <v>100</v>
      </c>
      <c r="H24" s="358">
        <v>100</v>
      </c>
      <c r="I24" s="358"/>
      <c r="J24" s="359"/>
      <c r="K24" s="360"/>
      <c r="L24" s="360"/>
      <c r="M24" s="360"/>
      <c r="N24" s="361"/>
      <c r="P24" s="364"/>
      <c r="Q24" s="364"/>
    </row>
    <row r="25" spans="1:17" s="362" customFormat="1" ht="29.25" customHeight="1" hidden="1">
      <c r="A25" s="347" t="s">
        <v>521</v>
      </c>
      <c r="B25" s="644" t="s">
        <v>522</v>
      </c>
      <c r="C25" s="349">
        <v>41883</v>
      </c>
      <c r="D25" s="349">
        <v>41944</v>
      </c>
      <c r="E25" s="349">
        <v>41791</v>
      </c>
      <c r="F25" s="349" t="s">
        <v>545</v>
      </c>
      <c r="G25" s="358"/>
      <c r="H25" s="358"/>
      <c r="I25" s="358"/>
      <c r="J25" s="359"/>
      <c r="K25" s="360"/>
      <c r="L25" s="360"/>
      <c r="M25" s="360"/>
      <c r="N25" s="361"/>
      <c r="P25" s="364"/>
      <c r="Q25" s="364"/>
    </row>
    <row r="26" spans="1:17" s="362" customFormat="1" ht="38.25">
      <c r="A26" s="347" t="s">
        <v>523</v>
      </c>
      <c r="B26" s="348" t="s">
        <v>524</v>
      </c>
      <c r="C26" s="349">
        <v>41944</v>
      </c>
      <c r="D26" s="349">
        <v>42005</v>
      </c>
      <c r="E26" s="349">
        <v>41760</v>
      </c>
      <c r="F26" s="349">
        <v>41760</v>
      </c>
      <c r="G26" s="358">
        <v>100</v>
      </c>
      <c r="H26" s="358">
        <v>100</v>
      </c>
      <c r="I26" s="358"/>
      <c r="J26" s="359"/>
      <c r="K26" s="360"/>
      <c r="L26" s="360"/>
      <c r="M26" s="360"/>
      <c r="N26" s="361"/>
      <c r="P26" s="364"/>
      <c r="Q26" s="364"/>
    </row>
    <row r="27" spans="1:17" s="362" customFormat="1" ht="38.25">
      <c r="A27" s="347" t="s">
        <v>525</v>
      </c>
      <c r="B27" s="348" t="s">
        <v>526</v>
      </c>
      <c r="C27" s="349">
        <v>42005</v>
      </c>
      <c r="D27" s="349">
        <v>42064</v>
      </c>
      <c r="E27" s="349">
        <v>41760</v>
      </c>
      <c r="F27" s="349">
        <v>41852</v>
      </c>
      <c r="G27" s="358">
        <v>100</v>
      </c>
      <c r="H27" s="358">
        <v>100</v>
      </c>
      <c r="I27" s="358"/>
      <c r="J27" s="359"/>
      <c r="K27" s="360"/>
      <c r="L27" s="360"/>
      <c r="M27" s="360"/>
      <c r="N27" s="361"/>
      <c r="P27" s="365"/>
      <c r="Q27" s="365"/>
    </row>
    <row r="28" spans="1:17" s="362" customFormat="1" ht="25.5">
      <c r="A28" s="347" t="s">
        <v>527</v>
      </c>
      <c r="B28" s="348" t="s">
        <v>528</v>
      </c>
      <c r="C28" s="349">
        <v>42064</v>
      </c>
      <c r="D28" s="349">
        <v>42095</v>
      </c>
      <c r="E28" s="349">
        <v>41760</v>
      </c>
      <c r="F28" s="349">
        <v>41760</v>
      </c>
      <c r="G28" s="358">
        <v>100</v>
      </c>
      <c r="H28" s="358">
        <v>100</v>
      </c>
      <c r="I28" s="358"/>
      <c r="J28" s="359"/>
      <c r="K28" s="360"/>
      <c r="L28" s="360"/>
      <c r="M28" s="360"/>
      <c r="N28" s="361"/>
      <c r="P28" s="364"/>
      <c r="Q28" s="364"/>
    </row>
    <row r="29" spans="1:17" s="362" customFormat="1" ht="15.75">
      <c r="A29" s="347" t="s">
        <v>529</v>
      </c>
      <c r="B29" s="348" t="s">
        <v>530</v>
      </c>
      <c r="C29" s="349">
        <v>42125</v>
      </c>
      <c r="D29" s="349">
        <v>42125</v>
      </c>
      <c r="E29" s="349">
        <v>41791</v>
      </c>
      <c r="F29" s="349">
        <v>41791</v>
      </c>
      <c r="G29" s="358">
        <v>100</v>
      </c>
      <c r="H29" s="358">
        <v>100</v>
      </c>
      <c r="I29" s="358"/>
      <c r="J29" s="359"/>
      <c r="K29" s="360"/>
      <c r="L29" s="360"/>
      <c r="M29" s="360"/>
      <c r="N29" s="361"/>
      <c r="P29" s="363"/>
      <c r="Q29" s="363"/>
    </row>
    <row r="30" spans="1:17" s="362" customFormat="1" ht="69" customHeight="1">
      <c r="A30" s="347" t="s">
        <v>546</v>
      </c>
      <c r="B30" s="348" t="s">
        <v>547</v>
      </c>
      <c r="C30" s="349">
        <v>42156</v>
      </c>
      <c r="D30" s="349">
        <v>42217</v>
      </c>
      <c r="E30" s="349">
        <v>41791</v>
      </c>
      <c r="F30" s="349">
        <v>41883</v>
      </c>
      <c r="G30" s="358">
        <v>100</v>
      </c>
      <c r="H30" s="358">
        <v>100</v>
      </c>
      <c r="I30" s="358"/>
      <c r="J30" s="359"/>
      <c r="K30" s="360"/>
      <c r="L30" s="360"/>
      <c r="M30" s="360"/>
      <c r="N30" s="361"/>
      <c r="P30" s="363"/>
      <c r="Q30" s="363"/>
    </row>
    <row r="31" spans="1:17" s="362" customFormat="1" ht="25.5">
      <c r="A31" s="347" t="s">
        <v>531</v>
      </c>
      <c r="B31" s="338" t="s">
        <v>532</v>
      </c>
      <c r="C31" s="400">
        <v>42095</v>
      </c>
      <c r="D31" s="400">
        <v>42156</v>
      </c>
      <c r="E31" s="349">
        <v>41852</v>
      </c>
      <c r="F31" s="349">
        <v>41913</v>
      </c>
      <c r="G31" s="358">
        <v>100</v>
      </c>
      <c r="H31" s="358">
        <v>100</v>
      </c>
      <c r="I31" s="358"/>
      <c r="J31" s="359"/>
      <c r="K31" s="360"/>
      <c r="L31" s="360"/>
      <c r="M31" s="360"/>
      <c r="N31" s="361"/>
      <c r="P31" s="363"/>
      <c r="Q31" s="363"/>
    </row>
    <row r="32" spans="1:17" s="362" customFormat="1" ht="25.5">
      <c r="A32" s="347" t="s">
        <v>533</v>
      </c>
      <c r="B32" s="338" t="s">
        <v>534</v>
      </c>
      <c r="C32" s="400">
        <v>42156</v>
      </c>
      <c r="D32" s="400">
        <v>42186</v>
      </c>
      <c r="E32" s="349">
        <v>41852</v>
      </c>
      <c r="F32" s="349">
        <v>41883</v>
      </c>
      <c r="G32" s="358">
        <v>100</v>
      </c>
      <c r="H32" s="358">
        <v>100</v>
      </c>
      <c r="I32" s="358"/>
      <c r="J32" s="359"/>
      <c r="K32" s="360"/>
      <c r="L32" s="360"/>
      <c r="M32" s="360"/>
      <c r="N32" s="361"/>
      <c r="P32" s="366"/>
      <c r="Q32" s="366"/>
    </row>
    <row r="33" spans="1:17" s="362" customFormat="1" ht="38.25">
      <c r="A33" s="347" t="s">
        <v>535</v>
      </c>
      <c r="B33" s="338" t="s">
        <v>536</v>
      </c>
      <c r="C33" s="400">
        <v>42186</v>
      </c>
      <c r="D33" s="400">
        <v>42186</v>
      </c>
      <c r="E33" s="367">
        <v>41883</v>
      </c>
      <c r="F33" s="367">
        <v>41913</v>
      </c>
      <c r="G33" s="358">
        <v>100</v>
      </c>
      <c r="H33" s="358">
        <v>100</v>
      </c>
      <c r="I33" s="358"/>
      <c r="J33" s="359"/>
      <c r="K33" s="360"/>
      <c r="L33" s="360"/>
      <c r="M33" s="360"/>
      <c r="N33" s="361"/>
      <c r="P33" s="363"/>
      <c r="Q33" s="363"/>
    </row>
    <row r="34" spans="1:17" s="362" customFormat="1" ht="15.75">
      <c r="A34" s="347" t="s">
        <v>537</v>
      </c>
      <c r="B34" s="338" t="s">
        <v>538</v>
      </c>
      <c r="C34" s="400">
        <v>42186</v>
      </c>
      <c r="D34" s="400">
        <v>42217</v>
      </c>
      <c r="E34" s="367">
        <v>41913</v>
      </c>
      <c r="F34" s="367">
        <v>41913</v>
      </c>
      <c r="G34" s="358">
        <v>100</v>
      </c>
      <c r="H34" s="358">
        <v>100</v>
      </c>
      <c r="I34" s="358"/>
      <c r="J34" s="359"/>
      <c r="K34" s="360"/>
      <c r="L34" s="360"/>
      <c r="M34" s="360"/>
      <c r="N34" s="361"/>
      <c r="P34" s="363"/>
      <c r="Q34" s="363"/>
    </row>
    <row r="35" spans="1:17" s="362" customFormat="1" ht="79.5" customHeight="1" thickBot="1">
      <c r="A35" s="351" t="s">
        <v>539</v>
      </c>
      <c r="B35" s="473" t="s">
        <v>540</v>
      </c>
      <c r="C35" s="474">
        <v>42217</v>
      </c>
      <c r="D35" s="474">
        <v>42248</v>
      </c>
      <c r="E35" s="369">
        <v>41913</v>
      </c>
      <c r="F35" s="369">
        <v>41944</v>
      </c>
      <c r="G35" s="370">
        <v>100</v>
      </c>
      <c r="H35" s="370">
        <v>100</v>
      </c>
      <c r="I35" s="370"/>
      <c r="J35" s="371"/>
      <c r="K35" s="372"/>
      <c r="L35" s="372"/>
      <c r="M35" s="372"/>
      <c r="N35" s="373"/>
      <c r="P35" s="363"/>
      <c r="Q35" s="363"/>
    </row>
    <row r="36" ht="15.75">
      <c r="B36" s="357"/>
    </row>
    <row r="37" spans="1:2" ht="15.75">
      <c r="A37" s="111" t="s">
        <v>541</v>
      </c>
      <c r="B37" s="357"/>
    </row>
    <row r="39" spans="3:9" ht="15.75">
      <c r="C39" s="833" t="s">
        <v>542</v>
      </c>
      <c r="D39" s="833"/>
      <c r="E39" s="833"/>
      <c r="F39" s="833"/>
      <c r="G39" s="833"/>
      <c r="H39" s="833"/>
      <c r="I39" s="833"/>
    </row>
    <row r="42" spans="1:14" ht="15.75">
      <c r="A42" s="708"/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</row>
    <row r="43" spans="1:14" ht="15.75">
      <c r="A43" s="708"/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</row>
    <row r="44" spans="1:14" ht="15.75">
      <c r="A44" s="708"/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</row>
    <row r="45" spans="1:14" ht="15.75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</row>
    <row r="46" spans="1:14" ht="15.7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</row>
    <row r="47" spans="1:14" ht="15.7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</row>
    <row r="48" spans="1:14" ht="15.7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</row>
    <row r="49" spans="1:14" ht="15.7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</row>
    <row r="50" spans="1:14" ht="15.75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</row>
    <row r="51" spans="1:14" ht="15.75">
      <c r="A51" s="708"/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</row>
    <row r="52" spans="1:14" ht="15.75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</row>
    <row r="53" spans="1:14" ht="15.75">
      <c r="A53" s="708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</row>
    <row r="54" spans="1:14" ht="15.75">
      <c r="A54" s="708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</row>
    <row r="55" spans="1:14" ht="15.75">
      <c r="A55" s="708"/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</row>
    <row r="56" spans="1:14" ht="15.75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4" ht="15.75">
      <c r="A57" s="569"/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</row>
    <row r="58" spans="1:14" ht="15.75">
      <c r="A58" s="569"/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</row>
    <row r="59" spans="1:14" ht="15.75">
      <c r="A59" s="569"/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</row>
    <row r="60" spans="1:14" ht="15.75">
      <c r="A60" s="569"/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</row>
    <row r="61" spans="1:14" ht="15.75">
      <c r="A61" s="569"/>
      <c r="B61" s="569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</row>
    <row r="62" spans="1:8" ht="15.75">
      <c r="A62" s="569"/>
      <c r="B62" s="569"/>
      <c r="C62" s="569"/>
      <c r="D62" s="569"/>
      <c r="E62" s="569"/>
      <c r="F62" s="569"/>
      <c r="G62" s="569"/>
      <c r="H62" s="569"/>
    </row>
    <row r="63" spans="1:8" ht="15.75">
      <c r="A63" s="569"/>
      <c r="B63" s="569"/>
      <c r="C63" s="569"/>
      <c r="D63" s="569"/>
      <c r="E63" s="569"/>
      <c r="F63" s="569"/>
      <c r="G63" s="569"/>
      <c r="H63" s="569"/>
    </row>
  </sheetData>
  <sheetProtection/>
  <mergeCells count="19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C39:I39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6"/>
  <sheetViews>
    <sheetView view="pageBreakPreview" zoomScale="75" zoomScaleNormal="80" zoomScaleSheetLayoutView="75" zoomScalePageLayoutView="0" workbookViewId="0" topLeftCell="A1">
      <selection activeCell="O12" sqref="O12"/>
    </sheetView>
  </sheetViews>
  <sheetFormatPr defaultColWidth="9.00390625" defaultRowHeight="15.75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15.625" style="334" customWidth="1"/>
    <col min="10" max="14" width="7.875" style="334" customWidth="1"/>
    <col min="15" max="15" width="9.00390625" style="334" customWidth="1"/>
    <col min="16" max="16384" width="9.00390625" style="111" customWidth="1"/>
  </cols>
  <sheetData>
    <row r="1" spans="1:14" ht="15.75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8.75" customHeight="1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5.75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8.75">
      <c r="M5" s="324"/>
      <c r="N5" s="297" t="s">
        <v>38</v>
      </c>
    </row>
    <row r="6" spans="13:14" s="326" customFormat="1" ht="18.75">
      <c r="M6" s="324"/>
      <c r="N6" s="297" t="s">
        <v>698</v>
      </c>
    </row>
    <row r="7" spans="13:14" s="326" customFormat="1" ht="18.75">
      <c r="M7" s="324"/>
      <c r="N7" s="297"/>
    </row>
    <row r="8" spans="13:14" s="326" customFormat="1" ht="18.75">
      <c r="M8" s="324"/>
      <c r="N8" s="297" t="s">
        <v>667</v>
      </c>
    </row>
    <row r="9" spans="13:14" s="326" customFormat="1" ht="18.75">
      <c r="M9" s="324"/>
      <c r="N9" s="297" t="s">
        <v>748</v>
      </c>
    </row>
    <row r="10" spans="13:14" s="326" customFormat="1" ht="18.75">
      <c r="M10" s="324"/>
      <c r="N10" s="297" t="s">
        <v>42</v>
      </c>
    </row>
    <row r="11" spans="1:14" ht="33" customHeight="1">
      <c r="A11" s="849" t="s">
        <v>727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61" t="s">
        <v>689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</row>
    <row r="13" spans="1:9" ht="15.75" customHeight="1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thickBot="1">
      <c r="A15" s="853" t="s">
        <v>737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s="362" customFormat="1" ht="15.75">
      <c r="A22" s="347" t="s">
        <v>515</v>
      </c>
      <c r="B22" s="348" t="s">
        <v>516</v>
      </c>
      <c r="C22" s="349">
        <v>41640</v>
      </c>
      <c r="D22" s="349">
        <v>41699</v>
      </c>
      <c r="E22" s="640">
        <v>41640</v>
      </c>
      <c r="F22" s="640">
        <v>41699</v>
      </c>
      <c r="G22" s="358">
        <v>100</v>
      </c>
      <c r="H22" s="358">
        <v>100</v>
      </c>
      <c r="I22" s="358"/>
      <c r="J22" s="359"/>
      <c r="K22" s="360"/>
      <c r="L22" s="360"/>
      <c r="M22" s="360"/>
      <c r="N22" s="361"/>
    </row>
    <row r="23" spans="1:14" s="362" customFormat="1" ht="27.75" customHeight="1">
      <c r="A23" s="347" t="s">
        <v>543</v>
      </c>
      <c r="B23" s="348" t="s">
        <v>544</v>
      </c>
      <c r="C23" s="349">
        <v>41699</v>
      </c>
      <c r="D23" s="349">
        <v>41730</v>
      </c>
      <c r="E23" s="640">
        <v>41699</v>
      </c>
      <c r="F23" s="640">
        <v>41730</v>
      </c>
      <c r="G23" s="358">
        <v>100</v>
      </c>
      <c r="H23" s="358">
        <v>100</v>
      </c>
      <c r="I23" s="358"/>
      <c r="J23" s="359"/>
      <c r="K23" s="360"/>
      <c r="L23" s="360"/>
      <c r="M23" s="360"/>
      <c r="N23" s="361"/>
    </row>
    <row r="24" spans="1:17" s="362" customFormat="1" ht="25.5">
      <c r="A24" s="347" t="s">
        <v>517</v>
      </c>
      <c r="B24" s="348" t="s">
        <v>518</v>
      </c>
      <c r="C24" s="349"/>
      <c r="D24" s="349"/>
      <c r="E24" s="640"/>
      <c r="F24" s="640"/>
      <c r="G24" s="358"/>
      <c r="H24" s="358"/>
      <c r="I24" s="358"/>
      <c r="J24" s="359"/>
      <c r="K24" s="360"/>
      <c r="L24" s="360"/>
      <c r="M24" s="360"/>
      <c r="N24" s="361"/>
      <c r="P24" s="363"/>
      <c r="Q24" s="363"/>
    </row>
    <row r="25" spans="1:17" s="362" customFormat="1" ht="15.75">
      <c r="A25" s="347" t="s">
        <v>519</v>
      </c>
      <c r="B25" s="348" t="s">
        <v>520</v>
      </c>
      <c r="C25" s="349">
        <v>41760</v>
      </c>
      <c r="D25" s="349">
        <v>41883</v>
      </c>
      <c r="E25" s="640">
        <v>41760</v>
      </c>
      <c r="F25" s="640">
        <v>41852</v>
      </c>
      <c r="G25" s="358">
        <v>100</v>
      </c>
      <c r="H25" s="358">
        <v>100</v>
      </c>
      <c r="I25" s="358"/>
      <c r="J25" s="359"/>
      <c r="K25" s="360"/>
      <c r="L25" s="360"/>
      <c r="M25" s="360"/>
      <c r="N25" s="361"/>
      <c r="P25" s="364"/>
      <c r="Q25" s="364"/>
    </row>
    <row r="26" spans="1:17" s="362" customFormat="1" ht="29.25" customHeight="1" hidden="1">
      <c r="A26" s="347" t="s">
        <v>521</v>
      </c>
      <c r="B26" s="644" t="s">
        <v>522</v>
      </c>
      <c r="C26" s="349">
        <v>41883</v>
      </c>
      <c r="D26" s="349">
        <v>41944</v>
      </c>
      <c r="E26" s="640">
        <v>41883</v>
      </c>
      <c r="F26" s="640">
        <v>41883</v>
      </c>
      <c r="G26" s="358">
        <v>100</v>
      </c>
      <c r="H26" s="358">
        <v>100</v>
      </c>
      <c r="I26" s="358"/>
      <c r="J26" s="359"/>
      <c r="K26" s="360"/>
      <c r="L26" s="360"/>
      <c r="M26" s="360"/>
      <c r="N26" s="361"/>
      <c r="P26" s="364"/>
      <c r="Q26" s="364"/>
    </row>
    <row r="27" spans="1:17" s="362" customFormat="1" ht="38.25">
      <c r="A27" s="347" t="s">
        <v>523</v>
      </c>
      <c r="B27" s="348" t="s">
        <v>524</v>
      </c>
      <c r="C27" s="349">
        <v>41944</v>
      </c>
      <c r="D27" s="349">
        <v>42005</v>
      </c>
      <c r="E27" s="640">
        <v>41883</v>
      </c>
      <c r="F27" s="640">
        <v>41883</v>
      </c>
      <c r="G27" s="358">
        <v>100</v>
      </c>
      <c r="H27" s="358">
        <v>100</v>
      </c>
      <c r="I27" s="358"/>
      <c r="J27" s="359"/>
      <c r="K27" s="360"/>
      <c r="L27" s="360"/>
      <c r="M27" s="360"/>
      <c r="N27" s="361"/>
      <c r="P27" s="364"/>
      <c r="Q27" s="364"/>
    </row>
    <row r="28" spans="1:17" s="362" customFormat="1" ht="38.25">
      <c r="A28" s="347" t="s">
        <v>525</v>
      </c>
      <c r="B28" s="348" t="s">
        <v>526</v>
      </c>
      <c r="C28" s="349">
        <v>42005</v>
      </c>
      <c r="D28" s="349">
        <v>42064</v>
      </c>
      <c r="E28" s="640">
        <v>41944</v>
      </c>
      <c r="F28" s="640">
        <v>42186</v>
      </c>
      <c r="G28" s="358">
        <v>100</v>
      </c>
      <c r="H28" s="358">
        <v>100</v>
      </c>
      <c r="I28" s="358"/>
      <c r="J28" s="359"/>
      <c r="K28" s="360"/>
      <c r="L28" s="360"/>
      <c r="M28" s="360"/>
      <c r="N28" s="361"/>
      <c r="P28" s="365"/>
      <c r="Q28" s="365"/>
    </row>
    <row r="29" spans="1:17" s="362" customFormat="1" ht="25.5">
      <c r="A29" s="347" t="s">
        <v>527</v>
      </c>
      <c r="B29" s="348" t="s">
        <v>528</v>
      </c>
      <c r="C29" s="349">
        <v>42064</v>
      </c>
      <c r="D29" s="349">
        <v>42095</v>
      </c>
      <c r="E29" s="640">
        <v>41883</v>
      </c>
      <c r="F29" s="640">
        <v>41883</v>
      </c>
      <c r="G29" s="358">
        <v>100</v>
      </c>
      <c r="H29" s="358">
        <v>100</v>
      </c>
      <c r="I29" s="358"/>
      <c r="J29" s="359"/>
      <c r="K29" s="360"/>
      <c r="L29" s="360"/>
      <c r="M29" s="360"/>
      <c r="N29" s="361"/>
      <c r="P29" s="364"/>
      <c r="Q29" s="364"/>
    </row>
    <row r="30" spans="1:17" s="362" customFormat="1" ht="15.75">
      <c r="A30" s="347" t="s">
        <v>529</v>
      </c>
      <c r="B30" s="348" t="s">
        <v>530</v>
      </c>
      <c r="C30" s="349">
        <v>42125</v>
      </c>
      <c r="D30" s="349">
        <v>42125</v>
      </c>
      <c r="E30" s="640">
        <v>41883</v>
      </c>
      <c r="F30" s="640">
        <v>41883</v>
      </c>
      <c r="G30" s="358">
        <v>100</v>
      </c>
      <c r="H30" s="358">
        <v>100</v>
      </c>
      <c r="I30" s="358"/>
      <c r="J30" s="359"/>
      <c r="K30" s="360"/>
      <c r="L30" s="360"/>
      <c r="M30" s="360"/>
      <c r="N30" s="361"/>
      <c r="P30" s="363"/>
      <c r="Q30" s="363"/>
    </row>
    <row r="31" spans="1:17" s="362" customFormat="1" ht="69" customHeight="1">
      <c r="A31" s="347" t="s">
        <v>546</v>
      </c>
      <c r="B31" s="348" t="s">
        <v>547</v>
      </c>
      <c r="C31" s="349">
        <v>42156</v>
      </c>
      <c r="D31" s="349">
        <v>42217</v>
      </c>
      <c r="E31" s="640">
        <v>41883</v>
      </c>
      <c r="F31" s="640">
        <v>41944</v>
      </c>
      <c r="G31" s="358">
        <v>100</v>
      </c>
      <c r="H31" s="358">
        <v>100</v>
      </c>
      <c r="I31" s="358"/>
      <c r="J31" s="359"/>
      <c r="K31" s="360"/>
      <c r="L31" s="360"/>
      <c r="M31" s="360"/>
      <c r="N31" s="361"/>
      <c r="P31" s="363"/>
      <c r="Q31" s="363"/>
    </row>
    <row r="32" spans="1:17" s="362" customFormat="1" ht="25.5">
      <c r="A32" s="347" t="s">
        <v>531</v>
      </c>
      <c r="B32" s="348" t="s">
        <v>532</v>
      </c>
      <c r="C32" s="349">
        <v>42186</v>
      </c>
      <c r="D32" s="349">
        <v>42217</v>
      </c>
      <c r="E32" s="640">
        <v>41883</v>
      </c>
      <c r="F32" s="640">
        <v>41944</v>
      </c>
      <c r="G32" s="358">
        <v>100</v>
      </c>
      <c r="H32" s="358">
        <v>100</v>
      </c>
      <c r="I32" s="358"/>
      <c r="J32" s="359"/>
      <c r="K32" s="360"/>
      <c r="L32" s="360"/>
      <c r="M32" s="360"/>
      <c r="N32" s="361"/>
      <c r="P32" s="363"/>
      <c r="Q32" s="363"/>
    </row>
    <row r="33" spans="1:17" s="362" customFormat="1" ht="25.5" hidden="1">
      <c r="A33" s="347" t="s">
        <v>533</v>
      </c>
      <c r="B33" s="348" t="s">
        <v>534</v>
      </c>
      <c r="C33" s="349"/>
      <c r="D33" s="349"/>
      <c r="E33" s="640"/>
      <c r="F33" s="640"/>
      <c r="G33" s="358"/>
      <c r="H33" s="358"/>
      <c r="I33" s="358"/>
      <c r="J33" s="359"/>
      <c r="K33" s="360"/>
      <c r="L33" s="360"/>
      <c r="M33" s="360"/>
      <c r="N33" s="361"/>
      <c r="P33" s="366"/>
      <c r="Q33" s="366"/>
    </row>
    <row r="34" spans="1:17" s="362" customFormat="1" ht="38.25">
      <c r="A34" s="347" t="s">
        <v>535</v>
      </c>
      <c r="B34" s="348" t="s">
        <v>536</v>
      </c>
      <c r="C34" s="349">
        <v>42217</v>
      </c>
      <c r="D34" s="349">
        <v>42248</v>
      </c>
      <c r="E34" s="641">
        <v>41974</v>
      </c>
      <c r="F34" s="641">
        <v>42217</v>
      </c>
      <c r="G34" s="643">
        <v>100</v>
      </c>
      <c r="H34" s="643">
        <v>100</v>
      </c>
      <c r="I34" s="358"/>
      <c r="J34" s="359"/>
      <c r="K34" s="360"/>
      <c r="L34" s="360"/>
      <c r="M34" s="360"/>
      <c r="N34" s="361"/>
      <c r="P34" s="363"/>
      <c r="Q34" s="363"/>
    </row>
    <row r="35" spans="1:17" s="362" customFormat="1" ht="15.75" hidden="1">
      <c r="A35" s="347" t="s">
        <v>537</v>
      </c>
      <c r="B35" s="348" t="s">
        <v>538</v>
      </c>
      <c r="C35" s="349"/>
      <c r="D35" s="349"/>
      <c r="E35" s="641"/>
      <c r="F35" s="641"/>
      <c r="G35" s="358"/>
      <c r="H35" s="358"/>
      <c r="I35" s="358"/>
      <c r="J35" s="359"/>
      <c r="K35" s="360"/>
      <c r="L35" s="360"/>
      <c r="M35" s="360"/>
      <c r="N35" s="361"/>
      <c r="P35" s="363"/>
      <c r="Q35" s="363"/>
    </row>
    <row r="36" spans="1:17" s="362" customFormat="1" ht="79.5" customHeight="1" thickBot="1">
      <c r="A36" s="351" t="s">
        <v>539</v>
      </c>
      <c r="B36" s="352" t="s">
        <v>540</v>
      </c>
      <c r="C36" s="368">
        <v>42248</v>
      </c>
      <c r="D36" s="368">
        <v>42248</v>
      </c>
      <c r="E36" s="368">
        <v>42248</v>
      </c>
      <c r="F36" s="368">
        <v>42248</v>
      </c>
      <c r="G36" s="370">
        <v>100</v>
      </c>
      <c r="H36" s="370">
        <v>100</v>
      </c>
      <c r="I36" s="370"/>
      <c r="J36" s="371"/>
      <c r="K36" s="372"/>
      <c r="L36" s="372"/>
      <c r="M36" s="372"/>
      <c r="N36" s="373"/>
      <c r="P36" s="363"/>
      <c r="Q36" s="363"/>
    </row>
    <row r="37" ht="15.75">
      <c r="B37" s="357"/>
    </row>
    <row r="38" spans="1:2" ht="15.75">
      <c r="A38" s="111" t="s">
        <v>541</v>
      </c>
      <c r="B38" s="357"/>
    </row>
    <row r="40" spans="3:9" ht="15.75">
      <c r="C40" s="833" t="s">
        <v>542</v>
      </c>
      <c r="D40" s="833"/>
      <c r="E40" s="833"/>
      <c r="F40" s="833"/>
      <c r="G40" s="833"/>
      <c r="H40" s="833"/>
      <c r="I40" s="833"/>
    </row>
    <row r="43" spans="1:14" ht="15.75">
      <c r="A43" s="569"/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</row>
    <row r="44" spans="1:14" ht="15.75">
      <c r="A44" s="708"/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</row>
    <row r="45" spans="1:14" ht="15.75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</row>
    <row r="46" spans="1:14" ht="15.7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</row>
    <row r="47" spans="1:14" ht="15.7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</row>
    <row r="48" spans="1:14" ht="15.7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</row>
    <row r="49" spans="1:14" ht="15.7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</row>
    <row r="50" spans="1:14" ht="15.75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</row>
    <row r="51" spans="1:14" ht="15.75">
      <c r="A51" s="708"/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</row>
    <row r="52" spans="1:14" ht="15.75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</row>
    <row r="53" spans="1:14" ht="15.75">
      <c r="A53" s="708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</row>
    <row r="54" spans="1:14" ht="15.75">
      <c r="A54" s="708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</row>
    <row r="55" spans="1:14" ht="15.75">
      <c r="A55" s="708"/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</row>
    <row r="56" spans="1:14" ht="15.75">
      <c r="A56" s="708"/>
      <c r="B56" s="708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</row>
    <row r="57" spans="1:14" ht="15.75">
      <c r="A57" s="708"/>
      <c r="B57" s="708"/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</row>
    <row r="58" spans="1:14" ht="15.75">
      <c r="A58" s="708"/>
      <c r="B58" s="708"/>
      <c r="C58" s="708"/>
      <c r="D58" s="708"/>
      <c r="E58" s="708"/>
      <c r="F58" s="708"/>
      <c r="G58" s="708"/>
      <c r="H58" s="708"/>
      <c r="I58" s="708"/>
      <c r="J58" s="708"/>
      <c r="K58" s="708"/>
      <c r="L58" s="708"/>
      <c r="M58" s="708"/>
      <c r="N58" s="708"/>
    </row>
    <row r="59" spans="1:14" ht="15.75">
      <c r="A59" s="569"/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</row>
    <row r="60" spans="1:14" ht="15.75">
      <c r="A60" s="569"/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</row>
    <row r="61" spans="1:14" ht="15.75">
      <c r="A61" s="569"/>
      <c r="B61" s="569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</row>
    <row r="62" spans="1:14" ht="15.75">
      <c r="A62" s="569"/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</row>
    <row r="63" spans="1:14" ht="15.75">
      <c r="A63" s="569"/>
      <c r="B63" s="569"/>
      <c r="C63" s="569"/>
      <c r="D63" s="569"/>
      <c r="E63" s="569"/>
      <c r="F63" s="569"/>
      <c r="G63" s="569"/>
      <c r="H63" s="569"/>
      <c r="I63" s="569"/>
      <c r="J63" s="569"/>
      <c r="K63" s="569"/>
      <c r="L63" s="569"/>
      <c r="M63" s="569"/>
      <c r="N63" s="569"/>
    </row>
    <row r="64" spans="1:14" ht="15.75">
      <c r="A64" s="569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</row>
    <row r="65" spans="1:14" ht="15.75">
      <c r="A65" s="569"/>
      <c r="B65" s="569"/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</row>
    <row r="66" spans="1:14" ht="15.75">
      <c r="A66" s="569"/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</row>
  </sheetData>
  <sheetProtection/>
  <mergeCells count="19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C40:I40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9"/>
  <sheetViews>
    <sheetView view="pageBreakPreview" zoomScale="86" zoomScaleSheetLayoutView="86" zoomScalePageLayoutView="0" workbookViewId="0" topLeftCell="A1">
      <pane xSplit="2" ySplit="16" topLeftCell="C41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I54" sqref="I54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>
      <c r="F1" s="147" t="s">
        <v>150</v>
      </c>
    </row>
    <row r="2" ht="15.75">
      <c r="F2" s="147" t="s">
        <v>37</v>
      </c>
    </row>
    <row r="3" ht="15.75">
      <c r="F3" s="147" t="s">
        <v>50</v>
      </c>
    </row>
    <row r="4" ht="15.75">
      <c r="F4" s="3"/>
    </row>
    <row r="5" ht="15.75">
      <c r="F5" s="3" t="s">
        <v>38</v>
      </c>
    </row>
    <row r="6" ht="15.75">
      <c r="F6" s="3" t="s">
        <v>235</v>
      </c>
    </row>
    <row r="7" ht="15.75">
      <c r="F7" s="3"/>
    </row>
    <row r="8" ht="15.75">
      <c r="F8" s="3" t="s">
        <v>368</v>
      </c>
    </row>
    <row r="9" ht="15.75">
      <c r="F9" s="3" t="s">
        <v>369</v>
      </c>
    </row>
    <row r="10" ht="15.75">
      <c r="F10" s="3" t="s">
        <v>42</v>
      </c>
    </row>
    <row r="11" spans="1:8" ht="36.75" customHeight="1">
      <c r="A11" s="754" t="s">
        <v>49</v>
      </c>
      <c r="B11" s="754"/>
      <c r="C11" s="754"/>
      <c r="D11" s="754"/>
      <c r="E11" s="754"/>
      <c r="F11" s="754"/>
      <c r="H11" s="3"/>
    </row>
    <row r="12" spans="1:8" ht="36.75" customHeight="1">
      <c r="A12" s="761" t="s">
        <v>370</v>
      </c>
      <c r="B12" s="761"/>
      <c r="C12" s="761"/>
      <c r="D12" s="761"/>
      <c r="E12" s="761"/>
      <c r="F12" s="761"/>
      <c r="H12" s="3"/>
    </row>
    <row r="13" ht="16.5" thickBot="1">
      <c r="F13" s="3" t="s">
        <v>320</v>
      </c>
    </row>
    <row r="14" spans="1:9" ht="15.75">
      <c r="A14" s="755" t="s">
        <v>236</v>
      </c>
      <c r="B14" s="757" t="s">
        <v>293</v>
      </c>
      <c r="C14" s="755">
        <v>2012</v>
      </c>
      <c r="D14" s="759"/>
      <c r="E14" s="760">
        <v>2013</v>
      </c>
      <c r="F14" s="759"/>
      <c r="I14" s="32"/>
    </row>
    <row r="15" spans="1:9" ht="16.5" thickBot="1">
      <c r="A15" s="756"/>
      <c r="B15" s="758"/>
      <c r="C15" s="35" t="s">
        <v>259</v>
      </c>
      <c r="D15" s="36" t="s">
        <v>260</v>
      </c>
      <c r="E15" s="83" t="s">
        <v>259</v>
      </c>
      <c r="F15" s="36" t="s">
        <v>260</v>
      </c>
      <c r="I15" s="32"/>
    </row>
    <row r="16" spans="1:9" ht="16.5" thickBot="1">
      <c r="A16" s="68">
        <v>1</v>
      </c>
      <c r="B16" s="70">
        <v>2</v>
      </c>
      <c r="C16" s="71">
        <v>3</v>
      </c>
      <c r="D16" s="69">
        <v>4</v>
      </c>
      <c r="E16" s="84">
        <v>5</v>
      </c>
      <c r="F16" s="69">
        <v>6</v>
      </c>
      <c r="I16" s="32"/>
    </row>
    <row r="17" spans="1:9" ht="15.75" customHeight="1">
      <c r="A17" s="73" t="s">
        <v>279</v>
      </c>
      <c r="B17" s="64" t="s">
        <v>294</v>
      </c>
      <c r="C17" s="230">
        <v>103.73433086716904</v>
      </c>
      <c r="D17" s="230">
        <f>(25410657+868817)/1000000/1.18</f>
        <v>22.270740677966103</v>
      </c>
      <c r="E17" s="246"/>
      <c r="F17" s="247"/>
      <c r="I17" s="32"/>
    </row>
    <row r="18" spans="1:9" ht="15.75">
      <c r="A18" s="39"/>
      <c r="B18" s="40" t="s">
        <v>303</v>
      </c>
      <c r="C18" s="231"/>
      <c r="D18" s="248"/>
      <c r="E18" s="249"/>
      <c r="F18" s="250"/>
      <c r="I18" s="32"/>
    </row>
    <row r="19" spans="1:9" ht="31.5">
      <c r="A19" s="39" t="s">
        <v>238</v>
      </c>
      <c r="B19" s="40" t="s">
        <v>72</v>
      </c>
      <c r="C19" s="231">
        <v>103.73433086716904</v>
      </c>
      <c r="D19" s="248">
        <f>5!D17</f>
        <v>22.270740677966103</v>
      </c>
      <c r="E19" s="249"/>
      <c r="F19" s="251"/>
      <c r="I19" s="32"/>
    </row>
    <row r="20" spans="1:9" ht="16.5" thickBot="1">
      <c r="A20" s="41" t="s">
        <v>239</v>
      </c>
      <c r="B20" s="42" t="s">
        <v>31</v>
      </c>
      <c r="C20" s="232"/>
      <c r="D20" s="252"/>
      <c r="E20" s="253"/>
      <c r="F20" s="254"/>
      <c r="I20" s="32"/>
    </row>
    <row r="21" spans="1:9" ht="15.75">
      <c r="A21" s="73" t="s">
        <v>272</v>
      </c>
      <c r="B21" s="64" t="s">
        <v>7</v>
      </c>
      <c r="C21" s="230">
        <v>68.6349200143854</v>
      </c>
      <c r="D21" s="245">
        <f>SUM(D22,D27:D30)</f>
        <v>93.77588006828991</v>
      </c>
      <c r="E21" s="246"/>
      <c r="F21" s="255"/>
      <c r="G21" s="293"/>
      <c r="I21" s="32"/>
    </row>
    <row r="22" spans="1:9" ht="15.75">
      <c r="A22" s="37" t="s">
        <v>237</v>
      </c>
      <c r="B22" s="38" t="s">
        <v>295</v>
      </c>
      <c r="C22" s="231">
        <v>21.67935155</v>
      </c>
      <c r="D22" s="248">
        <f>SUM(D24:D26)</f>
        <v>59.97413964518828</v>
      </c>
      <c r="E22" s="249"/>
      <c r="F22" s="251"/>
      <c r="I22" s="32"/>
    </row>
    <row r="23" spans="1:9" ht="15.75">
      <c r="A23" s="39"/>
      <c r="B23" s="40" t="s">
        <v>303</v>
      </c>
      <c r="C23" s="233"/>
      <c r="D23" s="256"/>
      <c r="E23" s="257"/>
      <c r="F23" s="250"/>
      <c r="I23" s="32"/>
    </row>
    <row r="24" spans="1:9" ht="15.75">
      <c r="A24" s="39" t="s">
        <v>238</v>
      </c>
      <c r="B24" s="40" t="s">
        <v>28</v>
      </c>
      <c r="C24" s="233">
        <v>18.59374455</v>
      </c>
      <c r="D24" s="256">
        <f>69.7814644622/1.18</f>
        <v>59.13683429000001</v>
      </c>
      <c r="E24" s="257"/>
      <c r="F24" s="251"/>
      <c r="I24" s="32"/>
    </row>
    <row r="25" spans="1:9" ht="15.75">
      <c r="A25" s="39" t="s">
        <v>239</v>
      </c>
      <c r="B25" s="40" t="s">
        <v>29</v>
      </c>
      <c r="C25" s="233">
        <v>3.085607</v>
      </c>
      <c r="D25" s="256">
        <f>0.912957266818215/1.18</f>
        <v>0.7736925989984873</v>
      </c>
      <c r="E25" s="257"/>
      <c r="F25" s="251"/>
      <c r="I25" s="32"/>
    </row>
    <row r="26" spans="1:9" ht="15.75">
      <c r="A26" s="39" t="s">
        <v>250</v>
      </c>
      <c r="B26" s="40" t="s">
        <v>30</v>
      </c>
      <c r="C26" s="233"/>
      <c r="D26" s="256">
        <f>0.0750630523039461/1.18</f>
        <v>0.06361275618978483</v>
      </c>
      <c r="E26" s="257"/>
      <c r="F26" s="251"/>
      <c r="I26" s="32"/>
    </row>
    <row r="27" spans="1:9" ht="15.75">
      <c r="A27" s="37" t="s">
        <v>240</v>
      </c>
      <c r="B27" s="38" t="s">
        <v>296</v>
      </c>
      <c r="C27" s="231">
        <v>24.0214977155088</v>
      </c>
      <c r="D27" s="248">
        <v>21.816105421072198</v>
      </c>
      <c r="E27" s="249"/>
      <c r="F27" s="251"/>
      <c r="G27" s="197"/>
      <c r="I27" s="32"/>
    </row>
    <row r="28" spans="1:9" ht="15.75">
      <c r="A28" s="37" t="s">
        <v>297</v>
      </c>
      <c r="B28" s="38" t="s">
        <v>298</v>
      </c>
      <c r="C28" s="231">
        <v>6.9275511968766</v>
      </c>
      <c r="D28" s="248">
        <v>1.2803096058397707</v>
      </c>
      <c r="E28" s="249"/>
      <c r="F28" s="250"/>
      <c r="G28" s="197"/>
      <c r="I28" s="32"/>
    </row>
    <row r="29" spans="1:9" ht="15.75">
      <c r="A29" s="37" t="s">
        <v>299</v>
      </c>
      <c r="B29" s="38" t="s">
        <v>307</v>
      </c>
      <c r="C29" s="231">
        <v>1.030179552</v>
      </c>
      <c r="D29" s="248">
        <v>0.09750075200224556</v>
      </c>
      <c r="E29" s="249"/>
      <c r="F29" s="250"/>
      <c r="G29" s="197"/>
      <c r="I29" s="32"/>
    </row>
    <row r="30" spans="1:9" ht="15.75">
      <c r="A30" s="37" t="s">
        <v>306</v>
      </c>
      <c r="B30" s="38" t="s">
        <v>300</v>
      </c>
      <c r="C30" s="231">
        <v>14.97634</v>
      </c>
      <c r="D30" s="248">
        <f>10.6078246441874</f>
        <v>10.6078246441874</v>
      </c>
      <c r="E30" s="249"/>
      <c r="F30" s="251"/>
      <c r="G30" s="294"/>
      <c r="I30" s="32"/>
    </row>
    <row r="31" spans="1:9" ht="15.75">
      <c r="A31" s="39"/>
      <c r="B31" s="40" t="s">
        <v>303</v>
      </c>
      <c r="C31" s="233"/>
      <c r="D31" s="256"/>
      <c r="E31" s="257"/>
      <c r="F31" s="251"/>
      <c r="I31" s="32"/>
    </row>
    <row r="32" spans="1:9" ht="15.75">
      <c r="A32" s="39" t="s">
        <v>248</v>
      </c>
      <c r="B32" s="40" t="s">
        <v>302</v>
      </c>
      <c r="C32" s="233">
        <v>12.622</v>
      </c>
      <c r="D32" s="256">
        <f>6.83567528475406/1.18</f>
        <v>5.792945156571237</v>
      </c>
      <c r="E32" s="257"/>
      <c r="F32" s="251"/>
      <c r="G32" s="197"/>
      <c r="I32" s="32"/>
    </row>
    <row r="33" spans="1:9" ht="15.75">
      <c r="A33" s="39" t="s">
        <v>308</v>
      </c>
      <c r="B33" s="40" t="s">
        <v>8</v>
      </c>
      <c r="C33" s="233"/>
      <c r="D33" s="256">
        <f>3.07130172509567/1.18</f>
        <v>2.6027980721149744</v>
      </c>
      <c r="E33" s="257"/>
      <c r="F33" s="251"/>
      <c r="G33" s="197"/>
      <c r="I33" s="32"/>
    </row>
    <row r="34" spans="1:9" ht="16.5" thickBot="1">
      <c r="A34" s="41" t="s">
        <v>0</v>
      </c>
      <c r="B34" s="42" t="s">
        <v>9</v>
      </c>
      <c r="C34" s="234"/>
      <c r="D34" s="258"/>
      <c r="E34" s="259"/>
      <c r="F34" s="254"/>
      <c r="I34" s="32"/>
    </row>
    <row r="35" spans="1:9" ht="16.5" thickBot="1">
      <c r="A35" s="72" t="s">
        <v>273</v>
      </c>
      <c r="B35" s="43" t="s">
        <v>10</v>
      </c>
      <c r="C35" s="235">
        <v>35.099410852783635</v>
      </c>
      <c r="D35" s="260">
        <f>D17-D21</f>
        <v>-71.5051393903238</v>
      </c>
      <c r="E35" s="261"/>
      <c r="F35" s="262"/>
      <c r="I35" s="32"/>
    </row>
    <row r="36" spans="1:9" ht="15.75">
      <c r="A36" s="73" t="s">
        <v>309</v>
      </c>
      <c r="B36" s="64" t="s">
        <v>310</v>
      </c>
      <c r="C36" s="230"/>
      <c r="D36" s="245">
        <f>D37-D41</f>
        <v>103.5666615875469</v>
      </c>
      <c r="E36" s="246"/>
      <c r="F36" s="255"/>
      <c r="I36" s="32"/>
    </row>
    <row r="37" spans="1:9" ht="15.75">
      <c r="A37" s="39" t="s">
        <v>237</v>
      </c>
      <c r="B37" s="40" t="s">
        <v>311</v>
      </c>
      <c r="C37" s="233"/>
      <c r="D37" s="256">
        <f>(107596469+4093634)/1000000</f>
        <v>111.690103</v>
      </c>
      <c r="E37" s="257"/>
      <c r="F37" s="251"/>
      <c r="I37" s="32"/>
    </row>
    <row r="38" spans="1:9" ht="15.75">
      <c r="A38" s="39"/>
      <c r="B38" s="40" t="s">
        <v>301</v>
      </c>
      <c r="C38" s="233"/>
      <c r="D38" s="256"/>
      <c r="E38" s="257"/>
      <c r="F38" s="251"/>
      <c r="I38" s="32"/>
    </row>
    <row r="39" spans="1:9" ht="31.5">
      <c r="A39" s="39" t="s">
        <v>238</v>
      </c>
      <c r="B39" s="40" t="s">
        <v>14</v>
      </c>
      <c r="C39" s="233"/>
      <c r="D39" s="256"/>
      <c r="E39" s="257"/>
      <c r="F39" s="251"/>
      <c r="I39" s="32"/>
    </row>
    <row r="40" spans="1:9" ht="15.75">
      <c r="A40" s="39" t="s">
        <v>239</v>
      </c>
      <c r="B40" s="44" t="s">
        <v>15</v>
      </c>
      <c r="C40" s="233"/>
      <c r="D40" s="256"/>
      <c r="E40" s="257"/>
      <c r="F40" s="251"/>
      <c r="I40" s="32"/>
    </row>
    <row r="41" spans="1:9" ht="15.75">
      <c r="A41" s="39" t="s">
        <v>240</v>
      </c>
      <c r="B41" s="40" t="s">
        <v>312</v>
      </c>
      <c r="C41" s="233"/>
      <c r="D41" s="256">
        <v>8.12344141245309</v>
      </c>
      <c r="E41" s="257"/>
      <c r="F41" s="251"/>
      <c r="I41" s="32"/>
    </row>
    <row r="42" spans="1:9" ht="15.75">
      <c r="A42" s="39"/>
      <c r="B42" s="40" t="s">
        <v>301</v>
      </c>
      <c r="C42" s="233"/>
      <c r="D42" s="256"/>
      <c r="E42" s="257"/>
      <c r="F42" s="251"/>
      <c r="I42" s="32"/>
    </row>
    <row r="43" spans="1:9" ht="16.5" thickBot="1">
      <c r="A43" s="41" t="s">
        <v>241</v>
      </c>
      <c r="B43" s="42" t="s">
        <v>16</v>
      </c>
      <c r="C43" s="234"/>
      <c r="D43" s="258"/>
      <c r="E43" s="259"/>
      <c r="F43" s="254"/>
      <c r="I43" s="32"/>
    </row>
    <row r="44" spans="1:9" ht="16.5" thickBot="1">
      <c r="A44" s="76" t="s">
        <v>313</v>
      </c>
      <c r="B44" s="82" t="s">
        <v>314</v>
      </c>
      <c r="C44" s="236">
        <v>35.099410852783635</v>
      </c>
      <c r="D44" s="263">
        <f>D36+D35</f>
        <v>32.0615221972231</v>
      </c>
      <c r="E44" s="264"/>
      <c r="F44" s="265"/>
      <c r="I44" s="32"/>
    </row>
    <row r="45" spans="1:9" ht="16.5" thickBot="1">
      <c r="A45" s="72" t="s">
        <v>315</v>
      </c>
      <c r="B45" s="43" t="s">
        <v>316</v>
      </c>
      <c r="C45" s="235">
        <v>5.385084166666675</v>
      </c>
      <c r="D45" s="260">
        <v>0</v>
      </c>
      <c r="E45" s="261"/>
      <c r="F45" s="262"/>
      <c r="I45" s="32"/>
    </row>
    <row r="46" spans="1:9" ht="16.5" thickBot="1">
      <c r="A46" s="72" t="s">
        <v>317</v>
      </c>
      <c r="B46" s="43" t="s">
        <v>318</v>
      </c>
      <c r="C46" s="235">
        <v>29.71432668611696</v>
      </c>
      <c r="D46" s="260">
        <f>D44-D45</f>
        <v>32.0615221972231</v>
      </c>
      <c r="E46" s="261"/>
      <c r="F46" s="266"/>
      <c r="I46" s="32"/>
    </row>
    <row r="47" spans="1:9" ht="15.75">
      <c r="A47" s="73" t="s">
        <v>319</v>
      </c>
      <c r="B47" s="64" t="s">
        <v>26</v>
      </c>
      <c r="C47" s="230"/>
      <c r="D47" s="245"/>
      <c r="E47" s="246"/>
      <c r="F47" s="255"/>
      <c r="I47" s="32"/>
    </row>
    <row r="48" spans="1:9" ht="15.75">
      <c r="A48" s="39"/>
      <c r="B48" s="40" t="s">
        <v>303</v>
      </c>
      <c r="C48" s="233"/>
      <c r="D48" s="256"/>
      <c r="E48" s="257"/>
      <c r="F48" s="251"/>
      <c r="I48" s="32"/>
    </row>
    <row r="49" spans="1:9" ht="15.75">
      <c r="A49" s="39" t="s">
        <v>237</v>
      </c>
      <c r="B49" s="40" t="s">
        <v>17</v>
      </c>
      <c r="C49" s="233"/>
      <c r="D49" s="256"/>
      <c r="E49" s="257"/>
      <c r="F49" s="251"/>
      <c r="I49" s="32"/>
    </row>
    <row r="50" spans="1:9" ht="15.75">
      <c r="A50" s="77" t="s">
        <v>240</v>
      </c>
      <c r="B50" s="40" t="s">
        <v>18</v>
      </c>
      <c r="C50" s="233"/>
      <c r="D50" s="256"/>
      <c r="E50" s="257"/>
      <c r="F50" s="251"/>
      <c r="I50" s="32"/>
    </row>
    <row r="51" spans="1:9" ht="15.75">
      <c r="A51" s="39" t="s">
        <v>297</v>
      </c>
      <c r="B51" s="40" t="s">
        <v>19</v>
      </c>
      <c r="C51" s="233"/>
      <c r="D51" s="256"/>
      <c r="E51" s="257"/>
      <c r="F51" s="250"/>
      <c r="I51" s="32"/>
    </row>
    <row r="52" spans="1:9" ht="16.5" thickBot="1">
      <c r="A52" s="41" t="s">
        <v>299</v>
      </c>
      <c r="B52" s="42" t="s">
        <v>20</v>
      </c>
      <c r="C52" s="232"/>
      <c r="D52" s="252"/>
      <c r="E52" s="253"/>
      <c r="F52" s="267"/>
      <c r="I52" s="32"/>
    </row>
    <row r="53" spans="1:9" ht="15.75">
      <c r="A53" s="73" t="s">
        <v>358</v>
      </c>
      <c r="B53" s="64" t="s">
        <v>24</v>
      </c>
      <c r="C53" s="230"/>
      <c r="D53" s="245"/>
      <c r="E53" s="246"/>
      <c r="F53" s="255"/>
      <c r="I53" s="32"/>
    </row>
    <row r="54" spans="1:9" ht="15.75">
      <c r="A54" s="39" t="s">
        <v>237</v>
      </c>
      <c r="B54" s="198" t="s">
        <v>2</v>
      </c>
      <c r="C54" s="233"/>
      <c r="D54" s="256"/>
      <c r="E54" s="257"/>
      <c r="F54" s="251"/>
      <c r="I54" s="32"/>
    </row>
    <row r="55" spans="1:9" ht="15.75">
      <c r="A55" s="39" t="s">
        <v>240</v>
      </c>
      <c r="B55" s="40" t="s">
        <v>3</v>
      </c>
      <c r="C55" s="233"/>
      <c r="D55" s="256"/>
      <c r="E55" s="257"/>
      <c r="F55" s="251"/>
      <c r="I55" s="32"/>
    </row>
    <row r="56" spans="1:9" ht="16.5" thickBot="1">
      <c r="A56" s="41"/>
      <c r="B56" s="42" t="s">
        <v>4</v>
      </c>
      <c r="C56" s="234"/>
      <c r="D56" s="258"/>
      <c r="E56" s="259"/>
      <c r="F56" s="254"/>
      <c r="I56" s="32"/>
    </row>
    <row r="57" spans="1:9" ht="15.75">
      <c r="A57" s="73" t="s">
        <v>321</v>
      </c>
      <c r="B57" s="64" t="s">
        <v>25</v>
      </c>
      <c r="C57" s="230"/>
      <c r="D57" s="245"/>
      <c r="E57" s="246"/>
      <c r="F57" s="268"/>
      <c r="I57" s="32"/>
    </row>
    <row r="58" spans="1:9" ht="15.75">
      <c r="A58" s="39" t="s">
        <v>237</v>
      </c>
      <c r="B58" s="198" t="s">
        <v>5</v>
      </c>
      <c r="C58" s="233"/>
      <c r="D58" s="256"/>
      <c r="E58" s="257"/>
      <c r="F58" s="251"/>
      <c r="I58" s="32"/>
    </row>
    <row r="59" spans="1:9" ht="15.75">
      <c r="A59" s="39" t="s">
        <v>240</v>
      </c>
      <c r="B59" s="40" t="s">
        <v>6</v>
      </c>
      <c r="C59" s="233"/>
      <c r="D59" s="256"/>
      <c r="E59" s="257"/>
      <c r="F59" s="251"/>
      <c r="I59" s="32"/>
    </row>
    <row r="60" spans="1:9" ht="16.5" thickBot="1">
      <c r="A60" s="41"/>
      <c r="B60" s="42" t="s">
        <v>4</v>
      </c>
      <c r="C60" s="234"/>
      <c r="D60" s="258"/>
      <c r="E60" s="259"/>
      <c r="F60" s="254"/>
      <c r="I60" s="32"/>
    </row>
    <row r="61" spans="1:9" ht="15.75">
      <c r="A61" s="73" t="s">
        <v>324</v>
      </c>
      <c r="B61" s="64" t="s">
        <v>322</v>
      </c>
      <c r="C61" s="230">
        <v>8.17399101944444</v>
      </c>
      <c r="D61" s="245"/>
      <c r="E61" s="246"/>
      <c r="F61" s="255"/>
      <c r="I61" s="32"/>
    </row>
    <row r="62" spans="1:9" ht="15.75">
      <c r="A62" s="37"/>
      <c r="B62" s="40" t="s">
        <v>323</v>
      </c>
      <c r="C62" s="233"/>
      <c r="D62" s="256"/>
      <c r="E62" s="257"/>
      <c r="F62" s="251"/>
      <c r="I62" s="32"/>
    </row>
    <row r="63" spans="1:9" ht="15.75">
      <c r="A63" s="39" t="s">
        <v>237</v>
      </c>
      <c r="B63" s="40" t="s">
        <v>21</v>
      </c>
      <c r="C63" s="233"/>
      <c r="D63" s="256"/>
      <c r="E63" s="257"/>
      <c r="F63" s="251"/>
      <c r="I63" s="32"/>
    </row>
    <row r="64" spans="1:9" ht="15.75">
      <c r="A64" s="39" t="s">
        <v>238</v>
      </c>
      <c r="B64" s="40" t="s">
        <v>331</v>
      </c>
      <c r="C64" s="231"/>
      <c r="D64" s="248"/>
      <c r="E64" s="249"/>
      <c r="F64" s="251"/>
      <c r="I64" s="32"/>
    </row>
    <row r="65" spans="1:9" ht="16.5" thickBot="1">
      <c r="A65" s="41" t="s">
        <v>240</v>
      </c>
      <c r="B65" s="42" t="s">
        <v>22</v>
      </c>
      <c r="C65" s="232">
        <v>8.17399101944444</v>
      </c>
      <c r="D65" s="252"/>
      <c r="E65" s="253"/>
      <c r="F65" s="254"/>
      <c r="I65" s="32"/>
    </row>
    <row r="66" spans="1:9" ht="15.75">
      <c r="A66" s="73" t="s">
        <v>326</v>
      </c>
      <c r="B66" s="64" t="s">
        <v>325</v>
      </c>
      <c r="C66" s="237">
        <v>29.71432668611696</v>
      </c>
      <c r="D66" s="269"/>
      <c r="E66" s="270"/>
      <c r="F66" s="247"/>
      <c r="I66" s="32"/>
    </row>
    <row r="67" spans="1:9" ht="15.75">
      <c r="A67" s="37"/>
      <c r="B67" s="40" t="s">
        <v>361</v>
      </c>
      <c r="C67" s="233"/>
      <c r="D67" s="256"/>
      <c r="E67" s="257"/>
      <c r="F67" s="251"/>
      <c r="I67" s="32"/>
    </row>
    <row r="68" spans="1:9" ht="15.75">
      <c r="A68" s="39" t="s">
        <v>237</v>
      </c>
      <c r="B68" s="40" t="s">
        <v>23</v>
      </c>
      <c r="C68" s="231">
        <v>29.71432668611696</v>
      </c>
      <c r="D68" s="248"/>
      <c r="E68" s="249"/>
      <c r="F68" s="250"/>
      <c r="I68" s="32"/>
    </row>
    <row r="69" spans="1:9" ht="15.75">
      <c r="A69" s="39" t="s">
        <v>238</v>
      </c>
      <c r="B69" s="40" t="s">
        <v>331</v>
      </c>
      <c r="C69" s="231"/>
      <c r="D69" s="248"/>
      <c r="E69" s="249"/>
      <c r="F69" s="271"/>
      <c r="I69" s="32"/>
    </row>
    <row r="70" spans="1:9" ht="16.5" thickBot="1">
      <c r="A70" s="41" t="s">
        <v>240</v>
      </c>
      <c r="B70" s="42" t="s">
        <v>22</v>
      </c>
      <c r="C70" s="232"/>
      <c r="D70" s="252"/>
      <c r="E70" s="253"/>
      <c r="F70" s="267"/>
      <c r="I70" s="32"/>
    </row>
    <row r="71" spans="1:9" ht="16.5" thickBot="1">
      <c r="A71" s="72" t="s">
        <v>327</v>
      </c>
      <c r="B71" s="43" t="s">
        <v>360</v>
      </c>
      <c r="C71" s="235"/>
      <c r="D71" s="260"/>
      <c r="E71" s="261"/>
      <c r="F71" s="262"/>
      <c r="I71" s="32"/>
    </row>
    <row r="72" spans="1:9" ht="15.75">
      <c r="A72" s="74" t="s">
        <v>328</v>
      </c>
      <c r="B72" s="75" t="s">
        <v>32</v>
      </c>
      <c r="C72" s="238"/>
      <c r="D72" s="272"/>
      <c r="E72" s="273"/>
      <c r="F72" s="274"/>
      <c r="I72" s="32"/>
    </row>
    <row r="73" spans="1:9" ht="15.75">
      <c r="A73" s="39" t="s">
        <v>237</v>
      </c>
      <c r="B73" s="40" t="s">
        <v>33</v>
      </c>
      <c r="C73" s="233"/>
      <c r="D73" s="256"/>
      <c r="E73" s="257"/>
      <c r="F73" s="251"/>
      <c r="I73" s="32"/>
    </row>
    <row r="74" spans="1:6" ht="16.5" thickBot="1">
      <c r="A74" s="41" t="s">
        <v>240</v>
      </c>
      <c r="B74" s="42" t="s">
        <v>34</v>
      </c>
      <c r="C74" s="234"/>
      <c r="D74" s="258"/>
      <c r="E74" s="259"/>
      <c r="F74" s="275"/>
    </row>
    <row r="75" spans="1:6" ht="16.5" thickBot="1">
      <c r="A75" s="72" t="s">
        <v>11</v>
      </c>
      <c r="B75" s="43" t="s">
        <v>36</v>
      </c>
      <c r="C75" s="239"/>
      <c r="D75" s="276"/>
      <c r="E75" s="277"/>
      <c r="F75" s="278"/>
    </row>
    <row r="76" spans="1:6" ht="15.75">
      <c r="A76" s="73" t="s">
        <v>12</v>
      </c>
      <c r="B76" s="64" t="s">
        <v>359</v>
      </c>
      <c r="C76" s="230"/>
      <c r="D76" s="245"/>
      <c r="E76" s="246"/>
      <c r="F76" s="279"/>
    </row>
    <row r="77" spans="1:6" ht="16.5" thickBot="1">
      <c r="A77" s="45"/>
      <c r="B77" s="42" t="s">
        <v>331</v>
      </c>
      <c r="C77" s="232"/>
      <c r="D77" s="252"/>
      <c r="E77" s="253"/>
      <c r="F77" s="275"/>
    </row>
    <row r="78" spans="1:6" ht="48" thickBot="1">
      <c r="A78" s="72" t="s">
        <v>12</v>
      </c>
      <c r="B78" s="43" t="s">
        <v>165</v>
      </c>
      <c r="C78" s="295">
        <f>C17+C37+C55+C58+C61+C71+C74+C75</f>
        <v>111.90832188661348</v>
      </c>
      <c r="D78" s="295">
        <f>D17+D37+D55+D58+D61+D71+D74+D75</f>
        <v>133.9608436779661</v>
      </c>
      <c r="E78" s="277"/>
      <c r="F78" s="278"/>
    </row>
    <row r="79" spans="1:6" ht="47.25">
      <c r="A79" s="73" t="s">
        <v>13</v>
      </c>
      <c r="B79" s="64" t="s">
        <v>166</v>
      </c>
      <c r="C79" s="296">
        <f>C21+C41+C54+C59+C45+C71+C66+C73+C76</f>
        <v>103.73433086716904</v>
      </c>
      <c r="D79" s="296">
        <f>D21+D41+D54+D59+D45+D71+D66+D73+D76</f>
        <v>101.899321480743</v>
      </c>
      <c r="E79" s="270"/>
      <c r="F79" s="279"/>
    </row>
    <row r="80" spans="1:6" ht="32.25" thickBot="1">
      <c r="A80" s="78"/>
      <c r="B80" s="85" t="s">
        <v>27</v>
      </c>
      <c r="C80" s="146">
        <f>C78-C79</f>
        <v>8.173991019444443</v>
      </c>
      <c r="D80" s="146">
        <f>D78-D79</f>
        <v>32.0615221972231</v>
      </c>
      <c r="E80" s="280"/>
      <c r="F80" s="281"/>
    </row>
    <row r="81" spans="1:6" ht="16.5" thickBot="1">
      <c r="A81" s="80"/>
      <c r="B81" s="81"/>
      <c r="C81" s="240"/>
      <c r="D81" s="240"/>
      <c r="E81" s="240"/>
      <c r="F81" s="282"/>
    </row>
    <row r="82" spans="1:6" ht="15.75">
      <c r="A82" s="79"/>
      <c r="B82" s="75" t="s">
        <v>329</v>
      </c>
      <c r="C82" s="241"/>
      <c r="D82" s="283"/>
      <c r="E82" s="284"/>
      <c r="F82" s="285"/>
    </row>
    <row r="83" spans="1:6" ht="15.75">
      <c r="A83" s="39" t="s">
        <v>237</v>
      </c>
      <c r="B83" s="40" t="s">
        <v>330</v>
      </c>
      <c r="C83" s="242">
        <v>35.099410852783635</v>
      </c>
      <c r="D83" s="286"/>
      <c r="E83" s="287"/>
      <c r="F83" s="288"/>
    </row>
    <row r="84" spans="1:6" ht="15.75">
      <c r="A84" s="101" t="s">
        <v>65</v>
      </c>
      <c r="B84" s="102" t="s">
        <v>332</v>
      </c>
      <c r="C84" s="243">
        <v>54.41769461110526</v>
      </c>
      <c r="D84" s="289"/>
      <c r="E84" s="290"/>
      <c r="F84" s="281"/>
    </row>
    <row r="85" spans="1:6" ht="16.5" thickBot="1">
      <c r="A85" s="41" t="s">
        <v>66</v>
      </c>
      <c r="B85" s="42" t="s">
        <v>73</v>
      </c>
      <c r="C85" s="244"/>
      <c r="D85" s="291"/>
      <c r="E85" s="292"/>
      <c r="F85" s="275"/>
    </row>
    <row r="87" spans="1:4" ht="15.75">
      <c r="A87" s="47" t="s">
        <v>333</v>
      </c>
      <c r="B87" s="46"/>
      <c r="C87" s="46"/>
      <c r="D87" s="46"/>
    </row>
    <row r="89" spans="1:6" ht="15.75">
      <c r="A89" s="753" t="s">
        <v>375</v>
      </c>
      <c r="B89" s="753"/>
      <c r="C89" s="753"/>
      <c r="D89" s="753"/>
      <c r="E89" s="753"/>
      <c r="F89" s="753"/>
    </row>
  </sheetData>
  <sheetProtection/>
  <mergeCells count="7">
    <mergeCell ref="A89:F89"/>
    <mergeCell ref="A11:F11"/>
    <mergeCell ref="A14:A15"/>
    <mergeCell ref="B14:B15"/>
    <mergeCell ref="C14:D14"/>
    <mergeCell ref="E14:F14"/>
    <mergeCell ref="A12:F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view="pageBreakPreview" zoomScale="75" zoomScaleNormal="80" zoomScaleSheetLayoutView="75" zoomScalePageLayoutView="0" workbookViewId="0" topLeftCell="A1">
      <pane xSplit="2" ySplit="21" topLeftCell="C22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O12" sqref="O12"/>
    </sheetView>
  </sheetViews>
  <sheetFormatPr defaultColWidth="9.00390625" defaultRowHeight="15.75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15.625" style="334" customWidth="1"/>
    <col min="10" max="14" width="7.875" style="334" customWidth="1"/>
    <col min="15" max="15" width="9.00390625" style="334" customWidth="1"/>
    <col min="16" max="16" width="13.625" style="111" customWidth="1"/>
    <col min="17" max="16384" width="9.00390625" style="111" customWidth="1"/>
  </cols>
  <sheetData>
    <row r="1" spans="1:14" ht="15.75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5.75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5.75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5.75">
      <c r="M5" s="324"/>
      <c r="N5" s="112" t="s">
        <v>38</v>
      </c>
    </row>
    <row r="6" spans="13:14" s="326" customFormat="1" ht="15.75">
      <c r="M6" s="324"/>
      <c r="N6" s="112" t="s">
        <v>698</v>
      </c>
    </row>
    <row r="7" spans="13:14" s="326" customFormat="1" ht="15.75">
      <c r="M7" s="324"/>
      <c r="N7" s="112"/>
    </row>
    <row r="8" spans="13:14" s="326" customFormat="1" ht="15.75">
      <c r="M8" s="324"/>
      <c r="N8" s="112" t="s">
        <v>667</v>
      </c>
    </row>
    <row r="9" spans="13:14" s="326" customFormat="1" ht="15.75">
      <c r="M9" s="324"/>
      <c r="N9" s="112" t="s">
        <v>748</v>
      </c>
    </row>
    <row r="10" spans="13:14" s="326" customFormat="1" ht="15.75">
      <c r="M10" s="324"/>
      <c r="N10" s="112" t="s">
        <v>42</v>
      </c>
    </row>
    <row r="11" spans="1:14" ht="33" customHeight="1">
      <c r="A11" s="849" t="s">
        <v>728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61" t="s">
        <v>690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</row>
    <row r="13" spans="1:9" ht="15.75" customHeight="1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customHeight="1" thickBot="1">
      <c r="A15" s="853" t="s">
        <v>738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s="362" customFormat="1" ht="15.75">
      <c r="A22" s="399" t="s">
        <v>515</v>
      </c>
      <c r="B22" s="338" t="s">
        <v>516</v>
      </c>
      <c r="C22" s="647">
        <v>41640</v>
      </c>
      <c r="D22" s="647">
        <v>41699</v>
      </c>
      <c r="E22" s="349">
        <v>41640</v>
      </c>
      <c r="F22" s="349">
        <v>41699</v>
      </c>
      <c r="G22" s="358">
        <v>100</v>
      </c>
      <c r="H22" s="358">
        <v>100</v>
      </c>
      <c r="I22" s="643"/>
      <c r="J22" s="359"/>
      <c r="K22" s="360"/>
      <c r="L22" s="360"/>
      <c r="M22" s="360"/>
      <c r="N22" s="361"/>
    </row>
    <row r="23" spans="1:14" s="362" customFormat="1" ht="66.75" customHeight="1">
      <c r="A23" s="399" t="s">
        <v>543</v>
      </c>
      <c r="B23" s="338" t="s">
        <v>544</v>
      </c>
      <c r="C23" s="647">
        <v>42064</v>
      </c>
      <c r="D23" s="647">
        <v>42095</v>
      </c>
      <c r="E23" s="640">
        <v>42156</v>
      </c>
      <c r="F23" s="640">
        <v>42186</v>
      </c>
      <c r="G23" s="643">
        <v>100</v>
      </c>
      <c r="H23" s="643">
        <v>100</v>
      </c>
      <c r="I23" s="643" t="s">
        <v>706</v>
      </c>
      <c r="J23" s="648"/>
      <c r="K23" s="360"/>
      <c r="L23" s="360"/>
      <c r="M23" s="360"/>
      <c r="N23" s="361"/>
    </row>
    <row r="24" spans="1:17" s="362" customFormat="1" ht="15.75">
      <c r="A24" s="399" t="s">
        <v>519</v>
      </c>
      <c r="B24" s="343" t="s">
        <v>520</v>
      </c>
      <c r="C24" s="647">
        <v>42125</v>
      </c>
      <c r="D24" s="647">
        <v>42309</v>
      </c>
      <c r="E24" s="640">
        <v>42125</v>
      </c>
      <c r="F24" s="664">
        <v>42248</v>
      </c>
      <c r="G24" s="643">
        <v>100</v>
      </c>
      <c r="H24" s="643"/>
      <c r="I24" s="643"/>
      <c r="J24" s="648"/>
      <c r="K24" s="360"/>
      <c r="L24" s="360"/>
      <c r="M24" s="360"/>
      <c r="N24" s="361"/>
      <c r="P24" s="363"/>
      <c r="Q24" s="363"/>
    </row>
    <row r="25" spans="1:17" s="362" customFormat="1" ht="28.5" customHeight="1" hidden="1">
      <c r="A25" s="399" t="s">
        <v>521</v>
      </c>
      <c r="B25" s="644" t="s">
        <v>522</v>
      </c>
      <c r="C25" s="647">
        <v>42309</v>
      </c>
      <c r="D25" s="647">
        <v>42401</v>
      </c>
      <c r="E25" s="349"/>
      <c r="F25" s="640"/>
      <c r="G25" s="643"/>
      <c r="H25" s="643"/>
      <c r="I25" s="643"/>
      <c r="J25" s="648"/>
      <c r="K25" s="360"/>
      <c r="L25" s="360"/>
      <c r="M25" s="360"/>
      <c r="N25" s="361"/>
      <c r="P25" s="364"/>
      <c r="Q25" s="364"/>
    </row>
    <row r="26" spans="1:17" s="362" customFormat="1" ht="29.25" customHeight="1">
      <c r="A26" s="399" t="s">
        <v>523</v>
      </c>
      <c r="B26" s="338" t="s">
        <v>524</v>
      </c>
      <c r="C26" s="647">
        <v>42401</v>
      </c>
      <c r="D26" s="647">
        <v>42461</v>
      </c>
      <c r="E26" s="349"/>
      <c r="F26" s="640"/>
      <c r="G26" s="643"/>
      <c r="H26" s="643"/>
      <c r="I26" s="643"/>
      <c r="J26" s="648"/>
      <c r="K26" s="360"/>
      <c r="L26" s="360"/>
      <c r="M26" s="360"/>
      <c r="N26" s="361"/>
      <c r="P26" s="364"/>
      <c r="Q26" s="364"/>
    </row>
    <row r="27" spans="1:18" s="362" customFormat="1" ht="43.5" customHeight="1">
      <c r="A27" s="399" t="s">
        <v>525</v>
      </c>
      <c r="B27" s="338" t="s">
        <v>526</v>
      </c>
      <c r="C27" s="647">
        <v>42461</v>
      </c>
      <c r="D27" s="647">
        <v>42522</v>
      </c>
      <c r="E27" s="349"/>
      <c r="F27" s="349"/>
      <c r="G27" s="358"/>
      <c r="H27" s="358"/>
      <c r="I27" s="643"/>
      <c r="J27" s="359"/>
      <c r="K27" s="360"/>
      <c r="L27" s="360"/>
      <c r="M27" s="360"/>
      <c r="N27" s="361"/>
      <c r="P27" s="862"/>
      <c r="Q27" s="862"/>
      <c r="R27" s="862"/>
    </row>
    <row r="28" spans="1:17" s="362" customFormat="1" ht="25.5">
      <c r="A28" s="399" t="s">
        <v>527</v>
      </c>
      <c r="B28" s="338" t="s">
        <v>528</v>
      </c>
      <c r="C28" s="647">
        <v>42461</v>
      </c>
      <c r="D28" s="647">
        <v>42491</v>
      </c>
      <c r="E28" s="640"/>
      <c r="F28" s="640"/>
      <c r="G28" s="358"/>
      <c r="H28" s="358"/>
      <c r="I28" s="643"/>
      <c r="J28" s="359"/>
      <c r="K28" s="360"/>
      <c r="L28" s="360"/>
      <c r="M28" s="360"/>
      <c r="N28" s="361"/>
      <c r="P28" s="365"/>
      <c r="Q28" s="365"/>
    </row>
    <row r="29" spans="1:17" s="362" customFormat="1" ht="28.5" customHeight="1">
      <c r="A29" s="399" t="s">
        <v>529</v>
      </c>
      <c r="B29" s="338" t="s">
        <v>530</v>
      </c>
      <c r="C29" s="647">
        <v>42522</v>
      </c>
      <c r="D29" s="647">
        <v>42552</v>
      </c>
      <c r="E29" s="640"/>
      <c r="F29" s="640"/>
      <c r="G29" s="358"/>
      <c r="H29" s="358"/>
      <c r="I29" s="643"/>
      <c r="J29" s="359"/>
      <c r="K29" s="360"/>
      <c r="L29" s="360"/>
      <c r="M29" s="360"/>
      <c r="N29" s="361"/>
      <c r="P29" s="646" t="s">
        <v>685</v>
      </c>
      <c r="Q29" s="364"/>
    </row>
    <row r="30" spans="1:17" s="362" customFormat="1" ht="63.75">
      <c r="A30" s="399" t="s">
        <v>546</v>
      </c>
      <c r="B30" s="625" t="s">
        <v>547</v>
      </c>
      <c r="C30" s="647">
        <v>42552</v>
      </c>
      <c r="D30" s="647">
        <v>42614</v>
      </c>
      <c r="E30" s="640"/>
      <c r="F30" s="640"/>
      <c r="G30" s="358"/>
      <c r="H30" s="358"/>
      <c r="I30" s="643"/>
      <c r="J30" s="359"/>
      <c r="K30" s="360"/>
      <c r="L30" s="360"/>
      <c r="M30" s="360"/>
      <c r="N30" s="361"/>
      <c r="P30" s="363"/>
      <c r="Q30" s="363"/>
    </row>
    <row r="31" spans="1:17" s="362" customFormat="1" ht="25.5" customHeight="1">
      <c r="A31" s="399" t="s">
        <v>531</v>
      </c>
      <c r="B31" s="338" t="s">
        <v>532</v>
      </c>
      <c r="C31" s="647">
        <v>42552</v>
      </c>
      <c r="D31" s="647">
        <v>42614</v>
      </c>
      <c r="E31" s="640"/>
      <c r="F31" s="640"/>
      <c r="G31" s="358"/>
      <c r="H31" s="358"/>
      <c r="I31" s="643"/>
      <c r="J31" s="359"/>
      <c r="K31" s="360"/>
      <c r="L31" s="360"/>
      <c r="M31" s="360"/>
      <c r="N31" s="361"/>
      <c r="P31" s="363"/>
      <c r="Q31" s="363"/>
    </row>
    <row r="32" spans="1:17" s="362" customFormat="1" ht="38.25">
      <c r="A32" s="399" t="s">
        <v>533</v>
      </c>
      <c r="B32" s="338" t="s">
        <v>536</v>
      </c>
      <c r="C32" s="647">
        <v>42614</v>
      </c>
      <c r="D32" s="647">
        <v>42614</v>
      </c>
      <c r="E32" s="640"/>
      <c r="F32" s="640"/>
      <c r="G32" s="358"/>
      <c r="H32" s="358"/>
      <c r="I32" s="643"/>
      <c r="J32" s="359"/>
      <c r="K32" s="360"/>
      <c r="L32" s="360"/>
      <c r="M32" s="360"/>
      <c r="N32" s="361"/>
      <c r="P32" s="363"/>
      <c r="Q32" s="363"/>
    </row>
    <row r="33" spans="1:17" s="362" customFormat="1" ht="76.5">
      <c r="A33" s="399" t="s">
        <v>539</v>
      </c>
      <c r="B33" s="401" t="s">
        <v>540</v>
      </c>
      <c r="C33" s="647">
        <v>42614</v>
      </c>
      <c r="D33" s="647">
        <v>42614</v>
      </c>
      <c r="E33" s="640"/>
      <c r="F33" s="640"/>
      <c r="G33" s="358"/>
      <c r="H33" s="358"/>
      <c r="I33" s="643"/>
      <c r="J33" s="359"/>
      <c r="K33" s="360"/>
      <c r="L33" s="360"/>
      <c r="M33" s="360"/>
      <c r="N33" s="361"/>
      <c r="P33" s="366"/>
      <c r="Q33" s="366"/>
    </row>
    <row r="34" ht="15.75">
      <c r="B34" s="357"/>
    </row>
    <row r="35" spans="1:2" ht="15.75">
      <c r="A35" s="111" t="s">
        <v>541</v>
      </c>
      <c r="B35" s="357"/>
    </row>
    <row r="37" spans="3:9" ht="15.75">
      <c r="C37" s="833" t="s">
        <v>542</v>
      </c>
      <c r="D37" s="833"/>
      <c r="E37" s="833"/>
      <c r="F37" s="833"/>
      <c r="G37" s="833"/>
      <c r="H37" s="833"/>
      <c r="I37" s="833"/>
    </row>
    <row r="40" spans="1:14" ht="15.75">
      <c r="A40" s="569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</row>
    <row r="41" spans="1:14" ht="15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</row>
    <row r="42" spans="1:14" ht="15.75">
      <c r="A42" s="708"/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</row>
    <row r="43" spans="1:14" ht="15.75">
      <c r="A43" s="708"/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</row>
    <row r="44" spans="1:14" ht="15.75">
      <c r="A44" s="708"/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</row>
    <row r="45" spans="1:14" ht="15.75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</row>
    <row r="46" spans="1:14" ht="15.7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</row>
    <row r="47" spans="1:14" ht="15.7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</row>
    <row r="48" spans="1:14" ht="15.7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</row>
    <row r="49" spans="1:14" ht="15.7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</row>
    <row r="50" spans="1:14" ht="15.75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</row>
    <row r="51" spans="1:14" ht="15.75">
      <c r="A51" s="708"/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</row>
    <row r="52" spans="1:14" ht="15.75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</row>
    <row r="53" spans="1:14" ht="15.75">
      <c r="A53" s="708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</row>
    <row r="54" spans="1:14" ht="15.75">
      <c r="A54" s="569"/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</row>
    <row r="55" spans="1:14" ht="15.75">
      <c r="A55" s="569"/>
      <c r="B55" s="569"/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</row>
    <row r="56" spans="1:9" ht="15.75">
      <c r="A56" s="569"/>
      <c r="B56" s="569"/>
      <c r="C56" s="569"/>
      <c r="D56" s="569"/>
      <c r="E56" s="569"/>
      <c r="F56" s="569"/>
      <c r="G56" s="569"/>
      <c r="H56" s="569"/>
      <c r="I56" s="569"/>
    </row>
    <row r="57" spans="1:9" ht="15.75">
      <c r="A57" s="569"/>
      <c r="B57" s="569"/>
      <c r="C57" s="569"/>
      <c r="D57" s="569"/>
      <c r="E57" s="569"/>
      <c r="F57" s="569"/>
      <c r="G57" s="569"/>
      <c r="H57" s="569"/>
      <c r="I57" s="569"/>
    </row>
    <row r="58" spans="1:9" ht="15.75">
      <c r="A58" s="569"/>
      <c r="B58" s="569"/>
      <c r="C58" s="569"/>
      <c r="D58" s="569"/>
      <c r="E58" s="569"/>
      <c r="F58" s="569"/>
      <c r="G58" s="569"/>
      <c r="H58" s="569"/>
      <c r="I58" s="569"/>
    </row>
    <row r="59" spans="1:9" ht="15.75">
      <c r="A59" s="569"/>
      <c r="B59" s="569"/>
      <c r="C59" s="569"/>
      <c r="D59" s="569"/>
      <c r="E59" s="569"/>
      <c r="F59" s="569"/>
      <c r="G59" s="569"/>
      <c r="H59" s="569"/>
      <c r="I59" s="569"/>
    </row>
    <row r="60" spans="1:9" ht="15.75">
      <c r="A60" s="569"/>
      <c r="B60" s="569"/>
      <c r="C60" s="569"/>
      <c r="D60" s="569"/>
      <c r="E60" s="569"/>
      <c r="F60" s="569"/>
      <c r="G60" s="569"/>
      <c r="H60" s="569"/>
      <c r="I60" s="569"/>
    </row>
    <row r="61" spans="1:9" ht="15.75">
      <c r="A61" s="569"/>
      <c r="B61" s="569"/>
      <c r="C61" s="569"/>
      <c r="D61" s="569"/>
      <c r="E61" s="569"/>
      <c r="F61" s="569"/>
      <c r="G61" s="569"/>
      <c r="H61" s="569"/>
      <c r="I61" s="569"/>
    </row>
    <row r="62" spans="1:9" ht="15.75">
      <c r="A62" s="569"/>
      <c r="B62" s="569"/>
      <c r="C62" s="569"/>
      <c r="D62" s="569"/>
      <c r="E62" s="569"/>
      <c r="F62" s="569"/>
      <c r="G62" s="569"/>
      <c r="H62" s="569"/>
      <c r="I62" s="569"/>
    </row>
  </sheetData>
  <sheetProtection/>
  <mergeCells count="20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P27:R27"/>
    <mergeCell ref="C37:I37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4"/>
  <sheetViews>
    <sheetView view="pageBreakPreview" zoomScale="75" zoomScaleNormal="80" zoomScaleSheetLayoutView="75" zoomScalePageLayoutView="0" workbookViewId="0" topLeftCell="A1">
      <pane xSplit="2" ySplit="21" topLeftCell="C22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O11" sqref="O11"/>
    </sheetView>
  </sheetViews>
  <sheetFormatPr defaultColWidth="9.00390625" defaultRowHeight="15.75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15.625" style="334" customWidth="1"/>
    <col min="10" max="14" width="7.875" style="334" customWidth="1"/>
    <col min="15" max="15" width="9.00390625" style="334" customWidth="1"/>
    <col min="16" max="16384" width="9.00390625" style="111" customWidth="1"/>
  </cols>
  <sheetData>
    <row r="1" spans="1:14" ht="15.75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5.75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5.75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5.75">
      <c r="M5" s="324"/>
      <c r="N5" s="112" t="s">
        <v>38</v>
      </c>
    </row>
    <row r="6" spans="13:14" s="326" customFormat="1" ht="15.75">
      <c r="M6" s="324"/>
      <c r="N6" s="112" t="s">
        <v>698</v>
      </c>
    </row>
    <row r="7" spans="13:14" s="326" customFormat="1" ht="15.75">
      <c r="M7" s="324"/>
      <c r="N7" s="112"/>
    </row>
    <row r="8" spans="13:14" s="326" customFormat="1" ht="15.75">
      <c r="M8" s="324"/>
      <c r="N8" s="112" t="s">
        <v>667</v>
      </c>
    </row>
    <row r="9" spans="13:14" s="326" customFormat="1" ht="15.75">
      <c r="M9" s="324"/>
      <c r="N9" s="112" t="s">
        <v>748</v>
      </c>
    </row>
    <row r="10" spans="13:14" s="326" customFormat="1" ht="15.75">
      <c r="M10" s="324"/>
      <c r="N10" s="112" t="s">
        <v>42</v>
      </c>
    </row>
    <row r="11" spans="1:14" ht="33" customHeight="1">
      <c r="A11" s="849" t="s">
        <v>728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61" t="s">
        <v>691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</row>
    <row r="13" spans="1:9" ht="15.75" customHeight="1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customHeight="1" thickBot="1">
      <c r="A15" s="853" t="s">
        <v>738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s="362" customFormat="1" ht="24.75" customHeight="1">
      <c r="A22" s="399" t="s">
        <v>515</v>
      </c>
      <c r="B22" s="626" t="s">
        <v>516</v>
      </c>
      <c r="C22" s="638">
        <v>41640</v>
      </c>
      <c r="D22" s="638">
        <v>41699</v>
      </c>
      <c r="E22" s="638">
        <v>42217</v>
      </c>
      <c r="F22" s="349" t="s">
        <v>545</v>
      </c>
      <c r="G22" s="358"/>
      <c r="H22" s="358"/>
      <c r="I22" s="863" t="s">
        <v>614</v>
      </c>
      <c r="J22" s="359"/>
      <c r="K22" s="360"/>
      <c r="L22" s="360"/>
      <c r="M22" s="360"/>
      <c r="N22" s="361"/>
    </row>
    <row r="23" spans="1:14" s="362" customFormat="1" ht="27.75" customHeight="1">
      <c r="A23" s="399" t="s">
        <v>543</v>
      </c>
      <c r="B23" s="626" t="s">
        <v>544</v>
      </c>
      <c r="C23" s="638">
        <v>42064</v>
      </c>
      <c r="D23" s="638">
        <v>42095</v>
      </c>
      <c r="E23" s="638">
        <v>42248</v>
      </c>
      <c r="F23" s="349" t="s">
        <v>545</v>
      </c>
      <c r="G23" s="358"/>
      <c r="H23" s="358"/>
      <c r="I23" s="864"/>
      <c r="J23" s="359"/>
      <c r="K23" s="360"/>
      <c r="L23" s="360"/>
      <c r="M23" s="360"/>
      <c r="N23" s="361"/>
    </row>
    <row r="24" spans="1:17" s="362" customFormat="1" ht="15.75" customHeight="1">
      <c r="A24" s="399" t="s">
        <v>519</v>
      </c>
      <c r="B24" s="627" t="s">
        <v>520</v>
      </c>
      <c r="C24" s="638">
        <v>42125</v>
      </c>
      <c r="D24" s="638">
        <v>42309</v>
      </c>
      <c r="E24" s="638">
        <v>42248</v>
      </c>
      <c r="F24" s="640">
        <v>42339</v>
      </c>
      <c r="G24" s="358"/>
      <c r="H24" s="358"/>
      <c r="I24" s="864"/>
      <c r="J24" s="359"/>
      <c r="K24" s="360"/>
      <c r="L24" s="360"/>
      <c r="M24" s="360"/>
      <c r="N24" s="361"/>
      <c r="P24" s="628" t="s">
        <v>685</v>
      </c>
      <c r="Q24" s="363"/>
    </row>
    <row r="25" spans="1:17" s="362" customFormat="1" ht="28.5" customHeight="1" hidden="1">
      <c r="A25" s="399" t="s">
        <v>521</v>
      </c>
      <c r="B25" s="645" t="s">
        <v>522</v>
      </c>
      <c r="C25" s="638">
        <v>42309</v>
      </c>
      <c r="D25" s="638">
        <v>42401</v>
      </c>
      <c r="E25" s="349"/>
      <c r="F25" s="349"/>
      <c r="G25" s="358"/>
      <c r="H25" s="358"/>
      <c r="I25" s="864"/>
      <c r="J25" s="359"/>
      <c r="K25" s="360"/>
      <c r="L25" s="360"/>
      <c r="M25" s="360"/>
      <c r="N25" s="361"/>
      <c r="P25" s="364"/>
      <c r="Q25" s="364"/>
    </row>
    <row r="26" spans="1:17" s="362" customFormat="1" ht="29.25" customHeight="1">
      <c r="A26" s="399" t="s">
        <v>523</v>
      </c>
      <c r="B26" s="626" t="s">
        <v>524</v>
      </c>
      <c r="C26" s="638">
        <v>42401</v>
      </c>
      <c r="D26" s="638">
        <v>42461</v>
      </c>
      <c r="E26" s="349"/>
      <c r="F26" s="349"/>
      <c r="G26" s="358"/>
      <c r="H26" s="358"/>
      <c r="I26" s="864"/>
      <c r="J26" s="359"/>
      <c r="K26" s="360"/>
      <c r="L26" s="360"/>
      <c r="M26" s="360"/>
      <c r="N26" s="361"/>
      <c r="P26" s="364"/>
      <c r="Q26" s="364"/>
    </row>
    <row r="27" spans="1:17" s="362" customFormat="1" ht="44.25" customHeight="1">
      <c r="A27" s="399" t="s">
        <v>525</v>
      </c>
      <c r="B27" s="626" t="s">
        <v>526</v>
      </c>
      <c r="C27" s="638">
        <v>42461</v>
      </c>
      <c r="D27" s="638">
        <v>42522</v>
      </c>
      <c r="E27" s="349"/>
      <c r="F27" s="349"/>
      <c r="G27" s="358"/>
      <c r="H27" s="358"/>
      <c r="I27" s="864"/>
      <c r="J27" s="359"/>
      <c r="K27" s="360"/>
      <c r="L27" s="360"/>
      <c r="M27" s="360"/>
      <c r="N27" s="361"/>
      <c r="P27" s="364"/>
      <c r="Q27" s="364"/>
    </row>
    <row r="28" spans="1:17" s="362" customFormat="1" ht="25.5">
      <c r="A28" s="399" t="s">
        <v>527</v>
      </c>
      <c r="B28" s="626" t="s">
        <v>528</v>
      </c>
      <c r="C28" s="638">
        <v>42461</v>
      </c>
      <c r="D28" s="638">
        <v>42491</v>
      </c>
      <c r="E28" s="349"/>
      <c r="F28" s="349"/>
      <c r="G28" s="358"/>
      <c r="H28" s="358"/>
      <c r="I28" s="864"/>
      <c r="J28" s="359"/>
      <c r="K28" s="360"/>
      <c r="L28" s="360"/>
      <c r="M28" s="360"/>
      <c r="N28" s="361"/>
      <c r="P28" s="365"/>
      <c r="Q28" s="365"/>
    </row>
    <row r="29" spans="1:17" s="362" customFormat="1" ht="15.75">
      <c r="A29" s="399" t="s">
        <v>529</v>
      </c>
      <c r="B29" s="626" t="s">
        <v>530</v>
      </c>
      <c r="C29" s="638">
        <v>42522</v>
      </c>
      <c r="D29" s="638">
        <v>42552</v>
      </c>
      <c r="E29" s="349"/>
      <c r="F29" s="349"/>
      <c r="G29" s="358"/>
      <c r="H29" s="358"/>
      <c r="I29" s="865"/>
      <c r="J29" s="359"/>
      <c r="K29" s="360"/>
      <c r="L29" s="360"/>
      <c r="M29" s="360"/>
      <c r="N29" s="361"/>
      <c r="P29" s="364"/>
      <c r="Q29" s="364"/>
    </row>
    <row r="30" spans="1:17" s="362" customFormat="1" ht="63.75">
      <c r="A30" s="399" t="s">
        <v>546</v>
      </c>
      <c r="B30" s="629" t="s">
        <v>547</v>
      </c>
      <c r="C30" s="638">
        <v>42552</v>
      </c>
      <c r="D30" s="638">
        <v>42614</v>
      </c>
      <c r="E30" s="349"/>
      <c r="F30" s="349"/>
      <c r="G30" s="358"/>
      <c r="H30" s="358"/>
      <c r="I30" s="358"/>
      <c r="J30" s="359"/>
      <c r="K30" s="360"/>
      <c r="L30" s="360"/>
      <c r="M30" s="360"/>
      <c r="N30" s="361"/>
      <c r="P30" s="363"/>
      <c r="Q30" s="363"/>
    </row>
    <row r="31" spans="1:17" s="362" customFormat="1" ht="32.25" customHeight="1">
      <c r="A31" s="399" t="s">
        <v>531</v>
      </c>
      <c r="B31" s="626" t="s">
        <v>532</v>
      </c>
      <c r="C31" s="638">
        <v>42552</v>
      </c>
      <c r="D31" s="638">
        <v>42614</v>
      </c>
      <c r="E31" s="349"/>
      <c r="F31" s="349"/>
      <c r="G31" s="358"/>
      <c r="H31" s="358"/>
      <c r="I31" s="358"/>
      <c r="J31" s="359"/>
      <c r="K31" s="360"/>
      <c r="L31" s="360"/>
      <c r="M31" s="360"/>
      <c r="N31" s="361"/>
      <c r="P31" s="363"/>
      <c r="Q31" s="363"/>
    </row>
    <row r="32" spans="1:17" s="362" customFormat="1" ht="38.25">
      <c r="A32" s="399" t="s">
        <v>533</v>
      </c>
      <c r="B32" s="626" t="s">
        <v>536</v>
      </c>
      <c r="C32" s="638">
        <v>42614</v>
      </c>
      <c r="D32" s="638">
        <v>42614</v>
      </c>
      <c r="E32" s="349"/>
      <c r="F32" s="349"/>
      <c r="G32" s="358"/>
      <c r="H32" s="358"/>
      <c r="I32" s="358"/>
      <c r="J32" s="359"/>
      <c r="K32" s="360"/>
      <c r="L32" s="360"/>
      <c r="M32" s="360"/>
      <c r="N32" s="361"/>
      <c r="P32" s="363"/>
      <c r="Q32" s="363"/>
    </row>
    <row r="33" spans="1:17" s="362" customFormat="1" ht="76.5">
      <c r="A33" s="399" t="s">
        <v>539</v>
      </c>
      <c r="B33" s="630" t="s">
        <v>540</v>
      </c>
      <c r="C33" s="638">
        <v>42614</v>
      </c>
      <c r="D33" s="638">
        <v>42614</v>
      </c>
      <c r="E33" s="349"/>
      <c r="F33" s="349"/>
      <c r="G33" s="358"/>
      <c r="H33" s="358"/>
      <c r="I33" s="358"/>
      <c r="J33" s="359"/>
      <c r="K33" s="360"/>
      <c r="L33" s="360"/>
      <c r="M33" s="360"/>
      <c r="N33" s="361"/>
      <c r="P33" s="366"/>
      <c r="Q33" s="366"/>
    </row>
    <row r="34" ht="15.75">
      <c r="B34" s="357"/>
    </row>
    <row r="35" spans="1:2" ht="15.75">
      <c r="A35" s="111" t="s">
        <v>541</v>
      </c>
      <c r="B35" s="357"/>
    </row>
    <row r="37" spans="3:9" ht="15.75">
      <c r="C37" s="833" t="s">
        <v>542</v>
      </c>
      <c r="D37" s="833"/>
      <c r="E37" s="833"/>
      <c r="F37" s="833"/>
      <c r="G37" s="833"/>
      <c r="H37" s="833"/>
      <c r="I37" s="833"/>
    </row>
    <row r="39" spans="1:14" ht="15.75">
      <c r="A39" s="569"/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</row>
    <row r="40" spans="1:14" ht="15.75">
      <c r="A40" s="569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</row>
    <row r="41" spans="1:14" ht="15.75">
      <c r="A41" s="708"/>
      <c r="B41" s="708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</row>
    <row r="42" spans="1:14" ht="15.75">
      <c r="A42" s="708"/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</row>
    <row r="43" spans="1:14" ht="15.75">
      <c r="A43" s="708"/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</row>
    <row r="44" spans="1:14" ht="15.75">
      <c r="A44" s="708"/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</row>
    <row r="45" spans="1:14" ht="15.75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</row>
    <row r="46" spans="1:14" ht="15.7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</row>
    <row r="47" spans="1:14" ht="15.7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</row>
    <row r="48" spans="1:14" ht="15.7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</row>
    <row r="49" spans="1:14" ht="15.7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</row>
    <row r="50" spans="1:14" ht="15.75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</row>
    <row r="51" spans="1:14" ht="15.75">
      <c r="A51" s="708"/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</row>
    <row r="52" spans="1:14" ht="15.75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</row>
    <row r="53" spans="1:14" ht="15.75">
      <c r="A53" s="569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</row>
    <row r="54" spans="1:9" ht="15.75">
      <c r="A54" s="569"/>
      <c r="B54" s="569"/>
      <c r="C54" s="569"/>
      <c r="D54" s="569"/>
      <c r="E54" s="569"/>
      <c r="F54" s="569"/>
      <c r="G54" s="569"/>
      <c r="H54" s="569"/>
      <c r="I54" s="569"/>
    </row>
  </sheetData>
  <sheetProtection/>
  <mergeCells count="20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I22:I29"/>
    <mergeCell ref="C37:I37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1"/>
  <sheetViews>
    <sheetView view="pageBreakPreview" zoomScale="75" zoomScaleNormal="80" zoomScaleSheetLayoutView="75" zoomScalePageLayoutView="0" workbookViewId="0" topLeftCell="A1">
      <selection activeCell="H21" sqref="H21"/>
    </sheetView>
  </sheetViews>
  <sheetFormatPr defaultColWidth="9.00390625" defaultRowHeight="15.75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15.625" style="334" customWidth="1"/>
    <col min="10" max="14" width="7.875" style="334" customWidth="1"/>
    <col min="15" max="15" width="9.00390625" style="334" customWidth="1"/>
    <col min="16" max="16384" width="9.00390625" style="111" customWidth="1"/>
  </cols>
  <sheetData>
    <row r="1" spans="1:14" ht="15.75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5.75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5.75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8.75">
      <c r="M5" s="324"/>
      <c r="N5" s="297" t="s">
        <v>38</v>
      </c>
    </row>
    <row r="6" spans="13:14" s="326" customFormat="1" ht="18.75">
      <c r="M6" s="324"/>
      <c r="N6" s="297" t="s">
        <v>698</v>
      </c>
    </row>
    <row r="7" spans="13:14" s="326" customFormat="1" ht="18.75">
      <c r="M7" s="324"/>
      <c r="N7" s="297"/>
    </row>
    <row r="8" spans="13:14" s="326" customFormat="1" ht="18.75">
      <c r="M8" s="324"/>
      <c r="N8" s="297" t="s">
        <v>667</v>
      </c>
    </row>
    <row r="9" spans="13:14" s="326" customFormat="1" ht="18.75">
      <c r="M9" s="324"/>
      <c r="N9" s="297" t="s">
        <v>748</v>
      </c>
    </row>
    <row r="10" spans="13:14" s="326" customFormat="1" ht="18.75">
      <c r="M10" s="324"/>
      <c r="N10" s="297" t="s">
        <v>42</v>
      </c>
    </row>
    <row r="11" spans="1:14" ht="33" customHeight="1">
      <c r="A11" s="849" t="s">
        <v>727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61" t="s">
        <v>692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</row>
    <row r="13" spans="1:9" ht="15.75" customHeight="1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thickBot="1">
      <c r="A15" s="853" t="s">
        <v>737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s="362" customFormat="1" ht="15.75">
      <c r="A22" s="347" t="s">
        <v>515</v>
      </c>
      <c r="B22" s="348" t="s">
        <v>516</v>
      </c>
      <c r="C22" s="349">
        <v>41640</v>
      </c>
      <c r="D22" s="349">
        <v>41699</v>
      </c>
      <c r="E22" s="640">
        <v>41640</v>
      </c>
      <c r="F22" s="640">
        <v>41699</v>
      </c>
      <c r="G22" s="358">
        <v>100</v>
      </c>
      <c r="H22" s="358">
        <v>100</v>
      </c>
      <c r="I22" s="358"/>
      <c r="J22" s="359"/>
      <c r="K22" s="360"/>
      <c r="L22" s="360"/>
      <c r="M22" s="360"/>
      <c r="N22" s="361"/>
    </row>
    <row r="23" spans="1:14" s="362" customFormat="1" ht="27.75" customHeight="1">
      <c r="A23" s="347" t="s">
        <v>543</v>
      </c>
      <c r="B23" s="348" t="s">
        <v>544</v>
      </c>
      <c r="C23" s="349">
        <v>41699</v>
      </c>
      <c r="D23" s="349">
        <v>41730</v>
      </c>
      <c r="E23" s="640">
        <v>41699</v>
      </c>
      <c r="F23" s="640">
        <v>41730</v>
      </c>
      <c r="G23" s="358">
        <v>100</v>
      </c>
      <c r="H23" s="358">
        <v>100</v>
      </c>
      <c r="I23" s="358"/>
      <c r="J23" s="359"/>
      <c r="K23" s="360"/>
      <c r="L23" s="360"/>
      <c r="M23" s="360"/>
      <c r="N23" s="361"/>
    </row>
    <row r="24" spans="1:17" s="362" customFormat="1" ht="25.5">
      <c r="A24" s="347" t="s">
        <v>517</v>
      </c>
      <c r="B24" s="348" t="s">
        <v>518</v>
      </c>
      <c r="C24" s="349"/>
      <c r="D24" s="349"/>
      <c r="E24" s="640"/>
      <c r="F24" s="640"/>
      <c r="G24" s="358"/>
      <c r="H24" s="358"/>
      <c r="I24" s="358"/>
      <c r="J24" s="359"/>
      <c r="K24" s="360"/>
      <c r="L24" s="360"/>
      <c r="M24" s="360"/>
      <c r="N24" s="361"/>
      <c r="P24" s="363"/>
      <c r="Q24" s="363"/>
    </row>
    <row r="25" spans="1:17" s="362" customFormat="1" ht="15.75">
      <c r="A25" s="347" t="s">
        <v>519</v>
      </c>
      <c r="B25" s="348" t="s">
        <v>520</v>
      </c>
      <c r="C25" s="349">
        <v>41760</v>
      </c>
      <c r="D25" s="349">
        <v>41883</v>
      </c>
      <c r="E25" s="640">
        <v>41760</v>
      </c>
      <c r="F25" s="640">
        <v>41821</v>
      </c>
      <c r="G25" s="358">
        <v>100</v>
      </c>
      <c r="H25" s="358">
        <v>100</v>
      </c>
      <c r="I25" s="358"/>
      <c r="J25" s="359"/>
      <c r="K25" s="360"/>
      <c r="L25" s="360"/>
      <c r="M25" s="360"/>
      <c r="N25" s="361"/>
      <c r="P25" s="364"/>
      <c r="Q25" s="364"/>
    </row>
    <row r="26" spans="1:17" s="362" customFormat="1" ht="29.25" customHeight="1" hidden="1">
      <c r="A26" s="347" t="s">
        <v>521</v>
      </c>
      <c r="B26" s="644" t="s">
        <v>522</v>
      </c>
      <c r="C26" s="349">
        <v>41883</v>
      </c>
      <c r="D26" s="349">
        <v>41944</v>
      </c>
      <c r="E26" s="640">
        <v>41883</v>
      </c>
      <c r="F26" s="640">
        <v>41974</v>
      </c>
      <c r="G26" s="358">
        <v>100</v>
      </c>
      <c r="H26" s="358">
        <v>100</v>
      </c>
      <c r="I26" s="358"/>
      <c r="J26" s="359"/>
      <c r="K26" s="360"/>
      <c r="L26" s="360"/>
      <c r="M26" s="360"/>
      <c r="N26" s="361"/>
      <c r="P26" s="364"/>
      <c r="Q26" s="364"/>
    </row>
    <row r="27" spans="1:17" s="362" customFormat="1" ht="38.25">
      <c r="A27" s="347" t="s">
        <v>523</v>
      </c>
      <c r="B27" s="348" t="s">
        <v>524</v>
      </c>
      <c r="C27" s="349">
        <v>41944</v>
      </c>
      <c r="D27" s="349">
        <v>42005</v>
      </c>
      <c r="E27" s="640">
        <v>41821</v>
      </c>
      <c r="F27" s="640">
        <v>41821</v>
      </c>
      <c r="G27" s="358">
        <v>100</v>
      </c>
      <c r="H27" s="358">
        <v>100</v>
      </c>
      <c r="I27" s="358"/>
      <c r="J27" s="359"/>
      <c r="K27" s="360"/>
      <c r="L27" s="360"/>
      <c r="M27" s="360"/>
      <c r="N27" s="361"/>
      <c r="P27" s="364"/>
      <c r="Q27" s="364"/>
    </row>
    <row r="28" spans="1:17" s="362" customFormat="1" ht="38.25">
      <c r="A28" s="347" t="s">
        <v>525</v>
      </c>
      <c r="B28" s="348" t="s">
        <v>526</v>
      </c>
      <c r="C28" s="349">
        <v>42005</v>
      </c>
      <c r="D28" s="349">
        <v>42064</v>
      </c>
      <c r="E28" s="640">
        <v>41913</v>
      </c>
      <c r="F28" s="640">
        <v>41974</v>
      </c>
      <c r="G28" s="358">
        <v>100</v>
      </c>
      <c r="H28" s="358">
        <v>100</v>
      </c>
      <c r="I28" s="358"/>
      <c r="J28" s="359"/>
      <c r="K28" s="360"/>
      <c r="L28" s="360"/>
      <c r="M28" s="360"/>
      <c r="N28" s="361"/>
      <c r="P28" s="365"/>
      <c r="Q28" s="365"/>
    </row>
    <row r="29" spans="1:17" s="362" customFormat="1" ht="25.5">
      <c r="A29" s="347" t="s">
        <v>527</v>
      </c>
      <c r="B29" s="348" t="s">
        <v>528</v>
      </c>
      <c r="C29" s="349">
        <v>42064</v>
      </c>
      <c r="D29" s="349">
        <v>42095</v>
      </c>
      <c r="E29" s="640">
        <v>41821</v>
      </c>
      <c r="F29" s="640">
        <v>41821</v>
      </c>
      <c r="G29" s="358">
        <v>100</v>
      </c>
      <c r="H29" s="358">
        <v>100</v>
      </c>
      <c r="I29" s="358"/>
      <c r="J29" s="359"/>
      <c r="K29" s="360"/>
      <c r="L29" s="360"/>
      <c r="M29" s="360"/>
      <c r="N29" s="361"/>
      <c r="P29" s="364"/>
      <c r="Q29" s="364"/>
    </row>
    <row r="30" spans="1:17" s="362" customFormat="1" ht="15.75">
      <c r="A30" s="347" t="s">
        <v>529</v>
      </c>
      <c r="B30" s="348" t="s">
        <v>530</v>
      </c>
      <c r="C30" s="349">
        <v>42125</v>
      </c>
      <c r="D30" s="349">
        <v>42125</v>
      </c>
      <c r="E30" s="640">
        <v>41821</v>
      </c>
      <c r="F30" s="640">
        <v>41883</v>
      </c>
      <c r="G30" s="358">
        <v>100</v>
      </c>
      <c r="H30" s="358">
        <v>100</v>
      </c>
      <c r="I30" s="358"/>
      <c r="J30" s="359"/>
      <c r="K30" s="360"/>
      <c r="L30" s="360"/>
      <c r="M30" s="360"/>
      <c r="N30" s="361"/>
      <c r="P30" s="363"/>
      <c r="Q30" s="363"/>
    </row>
    <row r="31" spans="1:17" s="362" customFormat="1" ht="69" customHeight="1">
      <c r="A31" s="347" t="s">
        <v>546</v>
      </c>
      <c r="B31" s="348" t="s">
        <v>547</v>
      </c>
      <c r="C31" s="349">
        <v>42156</v>
      </c>
      <c r="D31" s="349">
        <v>42217</v>
      </c>
      <c r="E31" s="640">
        <v>41852</v>
      </c>
      <c r="F31" s="640">
        <v>41944</v>
      </c>
      <c r="G31" s="358">
        <v>100</v>
      </c>
      <c r="H31" s="358">
        <v>100</v>
      </c>
      <c r="I31" s="358"/>
      <c r="J31" s="359"/>
      <c r="K31" s="360"/>
      <c r="L31" s="360"/>
      <c r="M31" s="360"/>
      <c r="N31" s="361"/>
      <c r="P31" s="363"/>
      <c r="Q31" s="363"/>
    </row>
    <row r="32" spans="1:17" s="362" customFormat="1" ht="25.5">
      <c r="A32" s="347" t="s">
        <v>531</v>
      </c>
      <c r="B32" s="348" t="s">
        <v>532</v>
      </c>
      <c r="C32" s="349">
        <v>42186</v>
      </c>
      <c r="D32" s="349">
        <v>42217</v>
      </c>
      <c r="E32" s="640">
        <v>41852</v>
      </c>
      <c r="F32" s="640">
        <v>41944</v>
      </c>
      <c r="G32" s="358">
        <v>100</v>
      </c>
      <c r="H32" s="358">
        <v>100</v>
      </c>
      <c r="I32" s="358"/>
      <c r="J32" s="359"/>
      <c r="K32" s="360"/>
      <c r="L32" s="360"/>
      <c r="M32" s="360"/>
      <c r="N32" s="361"/>
      <c r="P32" s="363"/>
      <c r="Q32" s="363"/>
    </row>
    <row r="33" spans="1:17" s="362" customFormat="1" ht="38.25">
      <c r="A33" s="347" t="s">
        <v>535</v>
      </c>
      <c r="B33" s="348" t="s">
        <v>536</v>
      </c>
      <c r="C33" s="349">
        <v>42217</v>
      </c>
      <c r="D33" s="349">
        <v>42248</v>
      </c>
      <c r="E33" s="641">
        <v>41974</v>
      </c>
      <c r="F33" s="641">
        <v>42217</v>
      </c>
      <c r="G33" s="358">
        <v>100</v>
      </c>
      <c r="H33" s="358">
        <v>100</v>
      </c>
      <c r="I33" s="358"/>
      <c r="J33" s="359"/>
      <c r="K33" s="360"/>
      <c r="L33" s="360"/>
      <c r="M33" s="360"/>
      <c r="N33" s="361"/>
      <c r="P33" s="363"/>
      <c r="Q33" s="363"/>
    </row>
    <row r="34" spans="1:17" s="362" customFormat="1" ht="15.75">
      <c r="A34" s="347" t="s">
        <v>537</v>
      </c>
      <c r="B34" s="348" t="s">
        <v>538</v>
      </c>
      <c r="C34" s="349"/>
      <c r="D34" s="349"/>
      <c r="E34" s="641"/>
      <c r="F34" s="641"/>
      <c r="G34" s="358"/>
      <c r="H34" s="358"/>
      <c r="I34" s="358"/>
      <c r="J34" s="359"/>
      <c r="K34" s="360"/>
      <c r="L34" s="360"/>
      <c r="M34" s="360"/>
      <c r="N34" s="361"/>
      <c r="P34" s="363"/>
      <c r="Q34" s="363"/>
    </row>
    <row r="35" spans="1:17" s="362" customFormat="1" ht="79.5" customHeight="1" thickBot="1">
      <c r="A35" s="351" t="s">
        <v>539</v>
      </c>
      <c r="B35" s="352" t="s">
        <v>540</v>
      </c>
      <c r="C35" s="368">
        <v>42248</v>
      </c>
      <c r="D35" s="368">
        <v>42248</v>
      </c>
      <c r="E35" s="368">
        <v>42248</v>
      </c>
      <c r="F35" s="368">
        <v>42248</v>
      </c>
      <c r="G35" s="370">
        <v>100</v>
      </c>
      <c r="H35" s="370">
        <v>100</v>
      </c>
      <c r="I35" s="370"/>
      <c r="J35" s="371"/>
      <c r="K35" s="372"/>
      <c r="L35" s="372"/>
      <c r="M35" s="372"/>
      <c r="N35" s="373"/>
      <c r="P35" s="363"/>
      <c r="Q35" s="363"/>
    </row>
    <row r="36" ht="15.75">
      <c r="B36" s="357"/>
    </row>
    <row r="37" spans="1:2" ht="15.75">
      <c r="A37" s="111" t="s">
        <v>541</v>
      </c>
      <c r="B37" s="357"/>
    </row>
    <row r="39" spans="3:9" ht="15.75">
      <c r="C39" s="833" t="s">
        <v>542</v>
      </c>
      <c r="D39" s="833"/>
      <c r="E39" s="833"/>
      <c r="F39" s="833"/>
      <c r="G39" s="833"/>
      <c r="H39" s="833"/>
      <c r="I39" s="833"/>
    </row>
    <row r="41" spans="1:14" ht="15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</row>
    <row r="42" spans="1:14" ht="15.75">
      <c r="A42" s="708"/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</row>
    <row r="43" spans="1:14" ht="15.75">
      <c r="A43" s="708"/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</row>
    <row r="44" spans="1:14" ht="15.75">
      <c r="A44" s="708"/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</row>
    <row r="45" spans="1:14" ht="15.75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</row>
    <row r="46" spans="1:14" ht="15.7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</row>
    <row r="47" spans="1:14" ht="15.7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</row>
    <row r="48" spans="1:14" ht="15.7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</row>
    <row r="49" spans="1:14" ht="15.7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</row>
    <row r="50" spans="1:14" ht="15.75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</row>
    <row r="51" spans="1:14" ht="15.75">
      <c r="A51" s="708"/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</row>
    <row r="52" spans="1:14" ht="15.75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</row>
    <row r="53" spans="1:14" ht="15.75">
      <c r="A53" s="708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</row>
    <row r="54" spans="1:14" ht="15.75">
      <c r="A54" s="708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</row>
    <row r="55" spans="1:14" ht="15.75">
      <c r="A55" s="708"/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</row>
    <row r="56" spans="1:14" ht="15.75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4" ht="15.75">
      <c r="A57" s="569"/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</row>
    <row r="58" spans="1:9" ht="15.75">
      <c r="A58" s="569"/>
      <c r="B58" s="569"/>
      <c r="C58" s="569"/>
      <c r="D58" s="569"/>
      <c r="E58" s="569"/>
      <c r="F58" s="569"/>
      <c r="G58" s="569"/>
      <c r="H58" s="569"/>
      <c r="I58" s="111"/>
    </row>
    <row r="59" spans="1:8" ht="15.75">
      <c r="A59" s="569"/>
      <c r="B59" s="569"/>
      <c r="C59" s="569"/>
      <c r="D59" s="569"/>
      <c r="E59" s="569"/>
      <c r="F59" s="569"/>
      <c r="G59" s="569"/>
      <c r="H59" s="569"/>
    </row>
    <row r="60" spans="1:8" ht="15.75">
      <c r="A60" s="569"/>
      <c r="B60" s="569"/>
      <c r="C60" s="569"/>
      <c r="D60" s="569"/>
      <c r="E60" s="569"/>
      <c r="F60" s="569"/>
      <c r="G60" s="569"/>
      <c r="H60" s="569"/>
    </row>
    <row r="61" spans="1:8" ht="15.75">
      <c r="A61" s="569"/>
      <c r="B61" s="569"/>
      <c r="C61" s="569"/>
      <c r="D61" s="569"/>
      <c r="E61" s="569"/>
      <c r="F61" s="569"/>
      <c r="G61" s="569"/>
      <c r="H61" s="569"/>
    </row>
  </sheetData>
  <sheetProtection/>
  <mergeCells count="19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C39:I39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1"/>
  <sheetViews>
    <sheetView view="pageBreakPreview" zoomScale="75" zoomScaleNormal="70" zoomScaleSheetLayoutView="75" zoomScalePageLayoutView="0" workbookViewId="0" topLeftCell="A1">
      <selection activeCell="O13" sqref="O13"/>
    </sheetView>
  </sheetViews>
  <sheetFormatPr defaultColWidth="9.00390625" defaultRowHeight="15.75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15.625" style="334" customWidth="1"/>
    <col min="10" max="14" width="7.875" style="334" customWidth="1"/>
    <col min="15" max="15" width="9.00390625" style="334" customWidth="1"/>
    <col min="16" max="16384" width="9.00390625" style="111" customWidth="1"/>
  </cols>
  <sheetData>
    <row r="1" spans="1:14" ht="15.75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5.75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5.75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5.75">
      <c r="M5" s="324"/>
      <c r="N5" s="112" t="s">
        <v>38</v>
      </c>
    </row>
    <row r="6" spans="13:14" s="326" customFormat="1" ht="15.75">
      <c r="M6" s="324"/>
      <c r="N6" s="112" t="s">
        <v>698</v>
      </c>
    </row>
    <row r="7" spans="13:14" s="326" customFormat="1" ht="15.75">
      <c r="M7" s="324"/>
      <c r="N7" s="112"/>
    </row>
    <row r="8" spans="13:14" s="326" customFormat="1" ht="15.75">
      <c r="M8" s="324"/>
      <c r="N8" s="112" t="s">
        <v>667</v>
      </c>
    </row>
    <row r="9" spans="13:14" s="326" customFormat="1" ht="15.75">
      <c r="M9" s="324"/>
      <c r="N9" s="112" t="s">
        <v>748</v>
      </c>
    </row>
    <row r="10" spans="13:14" s="326" customFormat="1" ht="15.75">
      <c r="M10" s="324"/>
      <c r="N10" s="112" t="s">
        <v>42</v>
      </c>
    </row>
    <row r="11" spans="1:14" ht="33" customHeight="1">
      <c r="A11" s="849" t="s">
        <v>728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61" t="s">
        <v>693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</row>
    <row r="13" spans="1:9" ht="15.75" customHeight="1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customHeight="1" thickBot="1">
      <c r="A15" s="853" t="s">
        <v>738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ht="15.75">
      <c r="A22" s="347" t="s">
        <v>515</v>
      </c>
      <c r="B22" s="649" t="s">
        <v>516</v>
      </c>
      <c r="C22" s="650">
        <v>41640</v>
      </c>
      <c r="D22" s="650">
        <v>41699</v>
      </c>
      <c r="E22" s="640">
        <v>41640</v>
      </c>
      <c r="F22" s="640">
        <v>41699</v>
      </c>
      <c r="G22" s="339">
        <v>100</v>
      </c>
      <c r="H22" s="339">
        <v>100</v>
      </c>
      <c r="I22" s="339"/>
      <c r="J22" s="340"/>
      <c r="K22" s="341"/>
      <c r="L22" s="341"/>
      <c r="M22" s="341"/>
      <c r="N22" s="342"/>
    </row>
    <row r="23" spans="1:14" ht="27.75" customHeight="1">
      <c r="A23" s="347" t="s">
        <v>543</v>
      </c>
      <c r="B23" s="649" t="s">
        <v>544</v>
      </c>
      <c r="C23" s="650">
        <v>41699</v>
      </c>
      <c r="D23" s="650">
        <v>41760</v>
      </c>
      <c r="E23" s="640">
        <v>41699</v>
      </c>
      <c r="F23" s="640">
        <v>41760</v>
      </c>
      <c r="G23" s="339">
        <v>100</v>
      </c>
      <c r="H23" s="339">
        <v>100</v>
      </c>
      <c r="I23" s="339"/>
      <c r="J23" s="340"/>
      <c r="K23" s="341"/>
      <c r="L23" s="341"/>
      <c r="M23" s="341"/>
      <c r="N23" s="342"/>
    </row>
    <row r="24" spans="1:17" ht="49.5" customHeight="1">
      <c r="A24" s="347" t="s">
        <v>517</v>
      </c>
      <c r="B24" s="649" t="s">
        <v>518</v>
      </c>
      <c r="C24" s="650">
        <v>41760</v>
      </c>
      <c r="D24" s="650">
        <v>41791</v>
      </c>
      <c r="E24" s="640">
        <v>41760</v>
      </c>
      <c r="F24" s="640">
        <v>41974</v>
      </c>
      <c r="G24" s="339">
        <v>100</v>
      </c>
      <c r="H24" s="339">
        <v>100</v>
      </c>
      <c r="I24" s="339" t="s">
        <v>548</v>
      </c>
      <c r="J24" s="866"/>
      <c r="K24" s="867"/>
      <c r="L24" s="867"/>
      <c r="M24" s="867"/>
      <c r="N24" s="868"/>
      <c r="P24" s="344"/>
      <c r="Q24" s="344"/>
    </row>
    <row r="25" spans="1:17" ht="49.5" customHeight="1">
      <c r="A25" s="347" t="s">
        <v>519</v>
      </c>
      <c r="B25" s="649" t="s">
        <v>520</v>
      </c>
      <c r="C25" s="650">
        <v>41791</v>
      </c>
      <c r="D25" s="650">
        <v>41913</v>
      </c>
      <c r="E25" s="640">
        <v>41791</v>
      </c>
      <c r="F25" s="640">
        <v>41974</v>
      </c>
      <c r="G25" s="339">
        <v>100</v>
      </c>
      <c r="H25" s="339">
        <v>100</v>
      </c>
      <c r="I25" s="339" t="s">
        <v>548</v>
      </c>
      <c r="J25" s="340"/>
      <c r="K25" s="341"/>
      <c r="L25" s="341"/>
      <c r="M25" s="341"/>
      <c r="N25" s="342"/>
      <c r="P25" s="631" t="s">
        <v>686</v>
      </c>
      <c r="Q25" s="345"/>
    </row>
    <row r="26" spans="1:17" ht="38.25">
      <c r="A26" s="347" t="s">
        <v>523</v>
      </c>
      <c r="B26" s="649" t="s">
        <v>524</v>
      </c>
      <c r="C26" s="650">
        <v>41913</v>
      </c>
      <c r="D26" s="650">
        <v>41944</v>
      </c>
      <c r="E26" s="640">
        <v>41883</v>
      </c>
      <c r="F26" s="640">
        <v>41944</v>
      </c>
      <c r="G26" s="339">
        <v>100</v>
      </c>
      <c r="H26" s="339">
        <v>100</v>
      </c>
      <c r="I26" s="339"/>
      <c r="J26" s="340"/>
      <c r="K26" s="341"/>
      <c r="L26" s="341"/>
      <c r="M26" s="341"/>
      <c r="N26" s="342"/>
      <c r="P26" s="345"/>
      <c r="Q26" s="345"/>
    </row>
    <row r="27" spans="1:17" ht="47.25">
      <c r="A27" s="347" t="s">
        <v>525</v>
      </c>
      <c r="B27" s="649" t="s">
        <v>526</v>
      </c>
      <c r="C27" s="650">
        <v>41944</v>
      </c>
      <c r="D27" s="650">
        <v>42064</v>
      </c>
      <c r="E27" s="640">
        <v>41883</v>
      </c>
      <c r="F27" s="640">
        <v>41974</v>
      </c>
      <c r="G27" s="339">
        <v>100</v>
      </c>
      <c r="H27" s="339">
        <v>100</v>
      </c>
      <c r="I27" s="339" t="s">
        <v>548</v>
      </c>
      <c r="J27" s="340"/>
      <c r="K27" s="341"/>
      <c r="L27" s="341"/>
      <c r="M27" s="341"/>
      <c r="N27" s="342"/>
      <c r="P27" s="346"/>
      <c r="Q27" s="346"/>
    </row>
    <row r="28" spans="1:17" ht="25.5">
      <c r="A28" s="347" t="s">
        <v>527</v>
      </c>
      <c r="B28" s="649" t="s">
        <v>528</v>
      </c>
      <c r="C28" s="650">
        <v>42064</v>
      </c>
      <c r="D28" s="650">
        <v>42156</v>
      </c>
      <c r="E28" s="640">
        <v>41944</v>
      </c>
      <c r="F28" s="640">
        <v>41974</v>
      </c>
      <c r="G28" s="339">
        <v>100</v>
      </c>
      <c r="H28" s="339">
        <v>100</v>
      </c>
      <c r="I28" s="339"/>
      <c r="J28" s="340"/>
      <c r="K28" s="341"/>
      <c r="L28" s="341"/>
      <c r="M28" s="341"/>
      <c r="N28" s="342"/>
      <c r="P28" s="345"/>
      <c r="Q28" s="345"/>
    </row>
    <row r="29" spans="1:17" ht="15.75">
      <c r="A29" s="347" t="s">
        <v>529</v>
      </c>
      <c r="B29" s="649" t="s">
        <v>530</v>
      </c>
      <c r="C29" s="650">
        <v>42401</v>
      </c>
      <c r="D29" s="650">
        <v>42583</v>
      </c>
      <c r="E29" s="640">
        <v>41944</v>
      </c>
      <c r="F29" s="640">
        <v>42339</v>
      </c>
      <c r="G29" s="339">
        <v>50</v>
      </c>
      <c r="H29" s="339">
        <v>50</v>
      </c>
      <c r="I29" s="339"/>
      <c r="J29" s="340"/>
      <c r="K29" s="341"/>
      <c r="L29" s="341"/>
      <c r="M29" s="341"/>
      <c r="N29" s="342"/>
      <c r="P29" s="344"/>
      <c r="Q29" s="344"/>
    </row>
    <row r="30" spans="1:17" ht="67.5" customHeight="1">
      <c r="A30" s="347" t="s">
        <v>546</v>
      </c>
      <c r="B30" s="651" t="s">
        <v>547</v>
      </c>
      <c r="C30" s="650">
        <v>42491</v>
      </c>
      <c r="D30" s="650">
        <v>43009</v>
      </c>
      <c r="E30" s="640">
        <v>42339</v>
      </c>
      <c r="F30" s="640" t="s">
        <v>545</v>
      </c>
      <c r="G30" s="339"/>
      <c r="H30" s="339"/>
      <c r="I30" s="339"/>
      <c r="J30" s="340"/>
      <c r="K30" s="341"/>
      <c r="L30" s="341"/>
      <c r="M30" s="341"/>
      <c r="N30" s="342"/>
      <c r="P30" s="344"/>
      <c r="Q30" s="344"/>
    </row>
    <row r="31" spans="1:17" ht="27" customHeight="1">
      <c r="A31" s="347" t="s">
        <v>549</v>
      </c>
      <c r="B31" s="651" t="s">
        <v>550</v>
      </c>
      <c r="C31" s="650">
        <v>43009</v>
      </c>
      <c r="D31" s="650">
        <v>43132</v>
      </c>
      <c r="E31" s="640"/>
      <c r="F31" s="640"/>
      <c r="G31" s="339"/>
      <c r="H31" s="339"/>
      <c r="I31" s="339"/>
      <c r="J31" s="340"/>
      <c r="K31" s="341"/>
      <c r="L31" s="341"/>
      <c r="M31" s="341"/>
      <c r="N31" s="342"/>
      <c r="P31" s="344"/>
      <c r="Q31" s="344"/>
    </row>
    <row r="32" spans="1:17" ht="25.5">
      <c r="A32" s="347" t="s">
        <v>531</v>
      </c>
      <c r="B32" s="649" t="s">
        <v>532</v>
      </c>
      <c r="C32" s="650">
        <v>42552</v>
      </c>
      <c r="D32" s="650">
        <v>43009</v>
      </c>
      <c r="E32" s="640"/>
      <c r="F32" s="640"/>
      <c r="G32" s="339"/>
      <c r="H32" s="339"/>
      <c r="I32" s="339"/>
      <c r="J32" s="340"/>
      <c r="K32" s="341"/>
      <c r="L32" s="341"/>
      <c r="M32" s="341"/>
      <c r="N32" s="342"/>
      <c r="P32" s="344"/>
      <c r="Q32" s="344"/>
    </row>
    <row r="33" spans="1:17" ht="25.5">
      <c r="A33" s="347" t="s">
        <v>533</v>
      </c>
      <c r="B33" s="649" t="s">
        <v>534</v>
      </c>
      <c r="C33" s="650">
        <v>42583</v>
      </c>
      <c r="D33" s="650">
        <v>43009</v>
      </c>
      <c r="E33" s="640"/>
      <c r="F33" s="640"/>
      <c r="G33" s="339"/>
      <c r="H33" s="339"/>
      <c r="I33" s="339"/>
      <c r="J33" s="340"/>
      <c r="K33" s="341"/>
      <c r="L33" s="341"/>
      <c r="M33" s="341"/>
      <c r="N33" s="342"/>
      <c r="P33" s="350"/>
      <c r="Q33" s="350"/>
    </row>
    <row r="34" spans="1:17" ht="38.25">
      <c r="A34" s="347" t="s">
        <v>535</v>
      </c>
      <c r="B34" s="649" t="s">
        <v>536</v>
      </c>
      <c r="C34" s="650">
        <v>43009</v>
      </c>
      <c r="D34" s="650">
        <v>43132</v>
      </c>
      <c r="E34" s="641"/>
      <c r="F34" s="641"/>
      <c r="G34" s="339"/>
      <c r="H34" s="339"/>
      <c r="I34" s="339"/>
      <c r="J34" s="340"/>
      <c r="K34" s="341"/>
      <c r="L34" s="341"/>
      <c r="M34" s="341"/>
      <c r="N34" s="342"/>
      <c r="P34" s="344"/>
      <c r="Q34" s="344"/>
    </row>
    <row r="35" spans="1:17" ht="15.75">
      <c r="A35" s="347" t="s">
        <v>537</v>
      </c>
      <c r="B35" s="649" t="s">
        <v>538</v>
      </c>
      <c r="C35" s="650">
        <v>43132</v>
      </c>
      <c r="D35" s="650">
        <v>43191</v>
      </c>
      <c r="E35" s="641"/>
      <c r="F35" s="641"/>
      <c r="G35" s="339"/>
      <c r="H35" s="339"/>
      <c r="I35" s="339"/>
      <c r="J35" s="340"/>
      <c r="K35" s="341"/>
      <c r="L35" s="341"/>
      <c r="M35" s="341"/>
      <c r="N35" s="342"/>
      <c r="P35" s="344"/>
      <c r="Q35" s="344"/>
    </row>
    <row r="36" spans="1:17" ht="42.75" customHeight="1">
      <c r="A36" s="347" t="s">
        <v>551</v>
      </c>
      <c r="B36" s="651" t="s">
        <v>552</v>
      </c>
      <c r="C36" s="650">
        <v>43132</v>
      </c>
      <c r="D36" s="650">
        <v>43191</v>
      </c>
      <c r="E36" s="652"/>
      <c r="F36" s="652"/>
      <c r="G36" s="374"/>
      <c r="H36" s="374"/>
      <c r="I36" s="374"/>
      <c r="J36" s="375"/>
      <c r="K36" s="376"/>
      <c r="L36" s="376"/>
      <c r="M36" s="376"/>
      <c r="N36" s="377"/>
      <c r="P36" s="344"/>
      <c r="Q36" s="344"/>
    </row>
    <row r="37" spans="1:17" ht="79.5" customHeight="1" thickBot="1">
      <c r="A37" s="351" t="s">
        <v>539</v>
      </c>
      <c r="B37" s="653" t="s">
        <v>540</v>
      </c>
      <c r="C37" s="650">
        <v>43191</v>
      </c>
      <c r="D37" s="650">
        <v>43191</v>
      </c>
      <c r="E37" s="642"/>
      <c r="F37" s="642"/>
      <c r="G37" s="353"/>
      <c r="H37" s="353"/>
      <c r="I37" s="353"/>
      <c r="J37" s="354"/>
      <c r="K37" s="355"/>
      <c r="L37" s="355"/>
      <c r="M37" s="355"/>
      <c r="N37" s="356"/>
      <c r="P37" s="344"/>
      <c r="Q37" s="344"/>
    </row>
    <row r="38" ht="15.75">
      <c r="B38" s="357"/>
    </row>
    <row r="39" spans="1:2" ht="15.75">
      <c r="A39" s="111" t="s">
        <v>541</v>
      </c>
      <c r="B39" s="357"/>
    </row>
    <row r="41" spans="3:9" ht="15.75">
      <c r="C41" s="833" t="s">
        <v>542</v>
      </c>
      <c r="D41" s="833"/>
      <c r="E41" s="833"/>
      <c r="F41" s="833"/>
      <c r="G41" s="833"/>
      <c r="H41" s="833"/>
      <c r="I41" s="833"/>
    </row>
    <row r="44" spans="1:14" ht="15.75">
      <c r="A44" s="708"/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</row>
    <row r="45" spans="1:14" ht="15.75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</row>
    <row r="46" spans="1:14" ht="15.7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</row>
    <row r="47" spans="1:14" ht="15.7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</row>
    <row r="48" spans="1:14" ht="15.7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</row>
    <row r="49" spans="1:14" ht="15.7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</row>
    <row r="50" spans="1:14" ht="15.75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</row>
    <row r="51" spans="1:14" ht="15.75">
      <c r="A51" s="708"/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8"/>
      <c r="M51" s="708"/>
      <c r="N51" s="708"/>
    </row>
    <row r="52" spans="1:14" ht="15.75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</row>
    <row r="53" spans="1:14" ht="15.75">
      <c r="A53" s="708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</row>
    <row r="54" spans="1:14" ht="15.75">
      <c r="A54" s="708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</row>
    <row r="55" spans="1:14" ht="15.75">
      <c r="A55" s="708"/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</row>
    <row r="56" spans="1:14" ht="15.75">
      <c r="A56" s="708"/>
      <c r="B56" s="708"/>
      <c r="C56" s="708"/>
      <c r="D56" s="708"/>
      <c r="E56" s="708"/>
      <c r="F56" s="708"/>
      <c r="G56" s="708"/>
      <c r="H56" s="708"/>
      <c r="I56" s="708"/>
      <c r="J56" s="708"/>
      <c r="K56" s="708"/>
      <c r="L56" s="708"/>
      <c r="M56" s="708"/>
      <c r="N56" s="708"/>
    </row>
    <row r="57" spans="1:14" ht="15.75">
      <c r="A57" s="708"/>
      <c r="B57" s="708"/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</row>
    <row r="58" spans="1:14" ht="15.75">
      <c r="A58" s="708"/>
      <c r="B58" s="708"/>
      <c r="C58" s="708"/>
      <c r="D58" s="708"/>
      <c r="E58" s="708"/>
      <c r="F58" s="708"/>
      <c r="G58" s="708"/>
      <c r="H58" s="708"/>
      <c r="I58" s="708"/>
      <c r="J58" s="708"/>
      <c r="K58" s="708"/>
      <c r="L58" s="708"/>
      <c r="M58" s="708"/>
      <c r="N58" s="708"/>
    </row>
    <row r="59" spans="1:14" ht="15.75">
      <c r="A59" s="708"/>
      <c r="B59" s="708"/>
      <c r="C59" s="708"/>
      <c r="D59" s="708"/>
      <c r="E59" s="708"/>
      <c r="F59" s="708"/>
      <c r="G59" s="708"/>
      <c r="H59" s="708"/>
      <c r="I59" s="708"/>
      <c r="J59" s="708"/>
      <c r="K59" s="708"/>
      <c r="L59" s="708"/>
      <c r="M59" s="708"/>
      <c r="N59" s="708"/>
    </row>
    <row r="60" spans="1:14" ht="15.75">
      <c r="A60" s="569"/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</row>
    <row r="61" spans="1:9" ht="15.75">
      <c r="A61" s="569"/>
      <c r="B61" s="569"/>
      <c r="C61" s="569"/>
      <c r="D61" s="569"/>
      <c r="E61" s="569"/>
      <c r="F61" s="569"/>
      <c r="G61" s="569"/>
      <c r="H61" s="569"/>
      <c r="I61" s="569"/>
    </row>
  </sheetData>
  <sheetProtection/>
  <mergeCells count="20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J24:N24"/>
    <mergeCell ref="C41:I41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1"/>
  <sheetViews>
    <sheetView view="pageBreakPreview" zoomScale="75" zoomScaleNormal="80" zoomScaleSheetLayoutView="75" zoomScalePageLayoutView="0" workbookViewId="0" topLeftCell="A1">
      <selection activeCell="O16" sqref="O16"/>
    </sheetView>
  </sheetViews>
  <sheetFormatPr defaultColWidth="9.00390625" defaultRowHeight="15.75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15.625" style="334" customWidth="1"/>
    <col min="10" max="14" width="7.875" style="334" customWidth="1"/>
    <col min="15" max="15" width="9.00390625" style="334" customWidth="1"/>
    <col min="16" max="16" width="9.00390625" style="111" customWidth="1"/>
    <col min="17" max="17" width="15.25390625" style="111" customWidth="1"/>
    <col min="18" max="16384" width="9.00390625" style="111" customWidth="1"/>
  </cols>
  <sheetData>
    <row r="1" spans="1:14" ht="15.75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5.75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5.75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5.75">
      <c r="M5" s="324"/>
      <c r="N5" s="112" t="s">
        <v>38</v>
      </c>
    </row>
    <row r="6" spans="13:14" s="326" customFormat="1" ht="15.75">
      <c r="M6" s="324"/>
      <c r="N6" s="112" t="s">
        <v>698</v>
      </c>
    </row>
    <row r="7" spans="13:14" s="326" customFormat="1" ht="15.75">
      <c r="M7" s="324"/>
      <c r="N7" s="112"/>
    </row>
    <row r="8" spans="13:14" s="326" customFormat="1" ht="15.75">
      <c r="M8" s="324"/>
      <c r="N8" s="112" t="s">
        <v>667</v>
      </c>
    </row>
    <row r="9" spans="13:14" s="326" customFormat="1" ht="15.75">
      <c r="M9" s="324"/>
      <c r="N9" s="112" t="s">
        <v>748</v>
      </c>
    </row>
    <row r="10" spans="13:14" s="326" customFormat="1" ht="15.75">
      <c r="M10" s="324"/>
      <c r="N10" s="112" t="s">
        <v>42</v>
      </c>
    </row>
    <row r="11" spans="1:14" ht="33" customHeight="1">
      <c r="A11" s="849" t="s">
        <v>728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61" t="s">
        <v>694</v>
      </c>
      <c r="B12" s="861"/>
      <c r="C12" s="861"/>
      <c r="D12" s="861"/>
      <c r="E12" s="861"/>
      <c r="F12" s="861"/>
      <c r="G12" s="861"/>
      <c r="H12" s="861"/>
      <c r="I12" s="861"/>
      <c r="J12" s="861"/>
      <c r="K12" s="861"/>
      <c r="L12" s="861"/>
      <c r="M12" s="861"/>
      <c r="N12" s="861"/>
    </row>
    <row r="13" spans="1:9" ht="15.75" customHeight="1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customHeight="1" thickBot="1">
      <c r="A15" s="853" t="s">
        <v>737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ht="15.75">
      <c r="A22" s="632" t="s">
        <v>515</v>
      </c>
      <c r="B22" s="649" t="s">
        <v>516</v>
      </c>
      <c r="C22" s="650">
        <v>42005</v>
      </c>
      <c r="D22" s="650">
        <v>42125</v>
      </c>
      <c r="E22" s="640">
        <v>42005</v>
      </c>
      <c r="F22" s="640">
        <v>42036</v>
      </c>
      <c r="G22" s="643">
        <v>100</v>
      </c>
      <c r="H22" s="643">
        <v>100</v>
      </c>
      <c r="I22" s="643"/>
      <c r="J22" s="648"/>
      <c r="K22" s="654"/>
      <c r="L22" s="654"/>
      <c r="M22" s="654"/>
      <c r="N22" s="655"/>
    </row>
    <row r="23" spans="1:14" ht="27.75" customHeight="1">
      <c r="A23" s="632" t="s">
        <v>543</v>
      </c>
      <c r="B23" s="649" t="s">
        <v>544</v>
      </c>
      <c r="C23" s="650">
        <v>42064</v>
      </c>
      <c r="D23" s="650">
        <v>42186</v>
      </c>
      <c r="E23" s="640">
        <v>42036</v>
      </c>
      <c r="F23" s="640">
        <v>42064</v>
      </c>
      <c r="G23" s="643">
        <v>100</v>
      </c>
      <c r="H23" s="643">
        <v>100</v>
      </c>
      <c r="I23" s="643"/>
      <c r="J23" s="648"/>
      <c r="K23" s="654"/>
      <c r="L23" s="654"/>
      <c r="M23" s="654"/>
      <c r="N23" s="655"/>
    </row>
    <row r="24" spans="1:17" ht="25.5">
      <c r="A24" s="632" t="s">
        <v>517</v>
      </c>
      <c r="B24" s="649" t="s">
        <v>518</v>
      </c>
      <c r="C24" s="650">
        <v>42036</v>
      </c>
      <c r="D24" s="650">
        <v>42125</v>
      </c>
      <c r="E24" s="640">
        <v>42064</v>
      </c>
      <c r="F24" s="640">
        <v>42064</v>
      </c>
      <c r="G24" s="643">
        <v>100</v>
      </c>
      <c r="H24" s="643">
        <v>100</v>
      </c>
      <c r="I24" s="643"/>
      <c r="J24" s="869"/>
      <c r="K24" s="870"/>
      <c r="L24" s="870"/>
      <c r="M24" s="870"/>
      <c r="N24" s="871"/>
      <c r="P24" s="344"/>
      <c r="Q24" s="344"/>
    </row>
    <row r="25" spans="1:17" ht="15.75">
      <c r="A25" s="632" t="s">
        <v>519</v>
      </c>
      <c r="B25" s="649" t="s">
        <v>520</v>
      </c>
      <c r="C25" s="650">
        <v>42064</v>
      </c>
      <c r="D25" s="650">
        <v>42125</v>
      </c>
      <c r="E25" s="640">
        <v>42095</v>
      </c>
      <c r="F25" s="640">
        <v>42217</v>
      </c>
      <c r="G25" s="643">
        <v>100</v>
      </c>
      <c r="H25" s="643">
        <v>100</v>
      </c>
      <c r="I25" s="643"/>
      <c r="J25" s="648"/>
      <c r="K25" s="654"/>
      <c r="L25" s="654"/>
      <c r="M25" s="654"/>
      <c r="N25" s="655"/>
      <c r="P25" s="345"/>
      <c r="Q25" s="345"/>
    </row>
    <row r="26" spans="1:17" ht="29.25" customHeight="1">
      <c r="A26" s="632" t="s">
        <v>523</v>
      </c>
      <c r="B26" s="649" t="s">
        <v>524</v>
      </c>
      <c r="C26" s="650">
        <v>42125</v>
      </c>
      <c r="D26" s="650">
        <v>42156</v>
      </c>
      <c r="E26" s="640">
        <v>42095</v>
      </c>
      <c r="F26" s="640">
        <v>42125</v>
      </c>
      <c r="G26" s="643">
        <v>100</v>
      </c>
      <c r="H26" s="643">
        <v>100</v>
      </c>
      <c r="I26" s="643"/>
      <c r="J26" s="648"/>
      <c r="K26" s="654"/>
      <c r="L26" s="654"/>
      <c r="M26" s="654"/>
      <c r="N26" s="655"/>
      <c r="P26" s="345"/>
      <c r="Q26" s="631" t="s">
        <v>687</v>
      </c>
    </row>
    <row r="27" spans="1:17" ht="25.5">
      <c r="A27" s="632" t="s">
        <v>527</v>
      </c>
      <c r="B27" s="649" t="s">
        <v>528</v>
      </c>
      <c r="C27" s="650">
        <v>42095</v>
      </c>
      <c r="D27" s="650">
        <v>42125</v>
      </c>
      <c r="E27" s="640">
        <v>42095</v>
      </c>
      <c r="F27" s="640">
        <v>42125</v>
      </c>
      <c r="G27" s="643">
        <v>100</v>
      </c>
      <c r="H27" s="643">
        <v>100</v>
      </c>
      <c r="I27" s="643"/>
      <c r="J27" s="648"/>
      <c r="K27" s="654"/>
      <c r="L27" s="654"/>
      <c r="M27" s="654"/>
      <c r="N27" s="655"/>
      <c r="P27" s="345"/>
      <c r="Q27" s="345"/>
    </row>
    <row r="28" spans="1:17" ht="15.75">
      <c r="A28" s="632" t="s">
        <v>529</v>
      </c>
      <c r="B28" s="649" t="s">
        <v>530</v>
      </c>
      <c r="C28" s="650">
        <v>42125</v>
      </c>
      <c r="D28" s="650">
        <v>42186</v>
      </c>
      <c r="E28" s="640">
        <v>42095</v>
      </c>
      <c r="F28" s="640">
        <v>42186</v>
      </c>
      <c r="G28" s="643">
        <v>100</v>
      </c>
      <c r="H28" s="643">
        <v>100</v>
      </c>
      <c r="I28" s="643"/>
      <c r="J28" s="648"/>
      <c r="K28" s="654"/>
      <c r="L28" s="654"/>
      <c r="M28" s="654"/>
      <c r="N28" s="655"/>
      <c r="P28" s="345"/>
      <c r="Q28" s="345"/>
    </row>
    <row r="29" spans="1:17" ht="25.5">
      <c r="A29" s="632" t="s">
        <v>531</v>
      </c>
      <c r="B29" s="649" t="s">
        <v>532</v>
      </c>
      <c r="C29" s="650">
        <v>42156</v>
      </c>
      <c r="D29" s="650">
        <v>43344</v>
      </c>
      <c r="E29" s="640">
        <v>42186</v>
      </c>
      <c r="F29" s="640" t="s">
        <v>545</v>
      </c>
      <c r="G29" s="643">
        <v>30</v>
      </c>
      <c r="H29" s="643">
        <v>30</v>
      </c>
      <c r="I29" s="643"/>
      <c r="J29" s="648"/>
      <c r="K29" s="654"/>
      <c r="L29" s="654"/>
      <c r="M29" s="654"/>
      <c r="N29" s="655"/>
      <c r="P29" s="344"/>
      <c r="Q29" s="344"/>
    </row>
    <row r="30" spans="1:17" ht="30" customHeight="1">
      <c r="A30" s="632" t="s">
        <v>533</v>
      </c>
      <c r="B30" s="649" t="s">
        <v>534</v>
      </c>
      <c r="C30" s="650">
        <v>42156</v>
      </c>
      <c r="D30" s="650">
        <v>43344</v>
      </c>
      <c r="E30" s="640">
        <v>42156</v>
      </c>
      <c r="F30" s="640" t="s">
        <v>545</v>
      </c>
      <c r="G30" s="643">
        <v>30</v>
      </c>
      <c r="H30" s="643">
        <v>30</v>
      </c>
      <c r="I30" s="643"/>
      <c r="J30" s="648"/>
      <c r="K30" s="654"/>
      <c r="L30" s="654"/>
      <c r="M30" s="654"/>
      <c r="N30" s="655"/>
      <c r="P30" s="344"/>
      <c r="Q30" s="344"/>
    </row>
    <row r="31" spans="1:17" ht="27" customHeight="1">
      <c r="A31" s="632" t="s">
        <v>535</v>
      </c>
      <c r="B31" s="649" t="s">
        <v>536</v>
      </c>
      <c r="C31" s="650">
        <v>42217</v>
      </c>
      <c r="D31" s="650">
        <v>43344</v>
      </c>
      <c r="E31" s="640"/>
      <c r="F31" s="640"/>
      <c r="G31" s="643"/>
      <c r="H31" s="643"/>
      <c r="I31" s="643"/>
      <c r="J31" s="648"/>
      <c r="K31" s="654"/>
      <c r="L31" s="654"/>
      <c r="M31" s="654"/>
      <c r="N31" s="655"/>
      <c r="P31" s="344"/>
      <c r="Q31" s="344"/>
    </row>
    <row r="32" spans="1:17" ht="15.75">
      <c r="A32" s="632" t="s">
        <v>537</v>
      </c>
      <c r="B32" s="649" t="s">
        <v>538</v>
      </c>
      <c r="C32" s="650">
        <v>42217</v>
      </c>
      <c r="D32" s="650">
        <v>43344</v>
      </c>
      <c r="E32" s="640"/>
      <c r="F32" s="640"/>
      <c r="G32" s="643"/>
      <c r="H32" s="643"/>
      <c r="I32" s="643"/>
      <c r="J32" s="648"/>
      <c r="K32" s="654"/>
      <c r="L32" s="654"/>
      <c r="M32" s="654"/>
      <c r="N32" s="655"/>
      <c r="P32" s="344"/>
      <c r="Q32" s="344"/>
    </row>
    <row r="33" spans="1:17" ht="76.5">
      <c r="A33" s="632" t="s">
        <v>539</v>
      </c>
      <c r="B33" s="653" t="s">
        <v>540</v>
      </c>
      <c r="C33" s="650">
        <v>43344</v>
      </c>
      <c r="D33" s="650">
        <v>43344</v>
      </c>
      <c r="E33" s="640"/>
      <c r="F33" s="640"/>
      <c r="G33" s="643"/>
      <c r="H33" s="643"/>
      <c r="I33" s="643"/>
      <c r="J33" s="648"/>
      <c r="K33" s="654"/>
      <c r="L33" s="654"/>
      <c r="M33" s="654"/>
      <c r="N33" s="655"/>
      <c r="P33" s="350"/>
      <c r="Q33" s="350"/>
    </row>
    <row r="34" ht="15.75">
      <c r="B34" s="357"/>
    </row>
    <row r="35" spans="1:2" ht="15.75">
      <c r="A35" s="111" t="s">
        <v>541</v>
      </c>
      <c r="B35" s="357"/>
    </row>
    <row r="37" spans="3:9" ht="15.75">
      <c r="C37" s="833" t="s">
        <v>542</v>
      </c>
      <c r="D37" s="833"/>
      <c r="E37" s="833"/>
      <c r="F37" s="833"/>
      <c r="G37" s="833"/>
      <c r="H37" s="833"/>
      <c r="I37" s="833"/>
    </row>
    <row r="39" spans="1:14" ht="15.75">
      <c r="A39" s="708"/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</row>
    <row r="40" spans="1:14" ht="15.75">
      <c r="A40" s="708"/>
      <c r="B40" s="708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</row>
    <row r="41" spans="1:14" ht="15.75">
      <c r="A41" s="708"/>
      <c r="B41" s="708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</row>
    <row r="42" spans="1:14" ht="15.75">
      <c r="A42" s="708"/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</row>
    <row r="43" spans="1:14" ht="15.75">
      <c r="A43" s="708"/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</row>
    <row r="44" spans="1:14" ht="15.75">
      <c r="A44" s="708"/>
      <c r="B44" s="708"/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</row>
    <row r="45" spans="1:14" ht="15.75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</row>
    <row r="46" spans="1:14" ht="15.7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</row>
    <row r="47" spans="1:14" ht="15.7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</row>
    <row r="48" spans="1:14" ht="15.7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</row>
    <row r="49" spans="1:14" ht="15.7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</row>
    <row r="50" spans="1:14" ht="15.75">
      <c r="A50" s="708"/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</row>
    <row r="51" spans="1:14" ht="15.75">
      <c r="A51" s="569"/>
      <c r="B51" s="569"/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</row>
    <row r="52" spans="1:14" ht="15.75">
      <c r="A52" s="569"/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</row>
    <row r="53" spans="1:14" ht="15.75">
      <c r="A53" s="569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</row>
    <row r="54" spans="1:14" ht="15.75">
      <c r="A54" s="569"/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</row>
    <row r="55" spans="1:9" ht="15.75">
      <c r="A55" s="569"/>
      <c r="B55" s="569"/>
      <c r="C55" s="569"/>
      <c r="D55" s="569"/>
      <c r="E55" s="569"/>
      <c r="F55" s="569"/>
      <c r="G55" s="569"/>
      <c r="H55" s="569"/>
      <c r="I55" s="569"/>
    </row>
    <row r="56" spans="1:9" ht="15.75">
      <c r="A56" s="569"/>
      <c r="B56" s="569"/>
      <c r="C56" s="569"/>
      <c r="D56" s="569"/>
      <c r="E56" s="569"/>
      <c r="F56" s="569"/>
      <c r="G56" s="569"/>
      <c r="H56" s="569"/>
      <c r="I56" s="569"/>
    </row>
    <row r="57" spans="1:9" ht="15.75">
      <c r="A57" s="569"/>
      <c r="B57" s="569"/>
      <c r="C57" s="569"/>
      <c r="D57" s="569"/>
      <c r="E57" s="569"/>
      <c r="F57" s="569"/>
      <c r="G57" s="569"/>
      <c r="H57" s="569"/>
      <c r="I57" s="569"/>
    </row>
    <row r="58" spans="1:9" ht="15.75">
      <c r="A58" s="569"/>
      <c r="B58" s="569"/>
      <c r="C58" s="569"/>
      <c r="D58" s="569"/>
      <c r="E58" s="569"/>
      <c r="F58" s="569"/>
      <c r="G58" s="569"/>
      <c r="H58" s="569"/>
      <c r="I58" s="569"/>
    </row>
    <row r="59" spans="1:9" ht="15.75">
      <c r="A59" s="569"/>
      <c r="B59" s="569"/>
      <c r="C59" s="569"/>
      <c r="D59" s="569"/>
      <c r="E59" s="569"/>
      <c r="F59" s="569"/>
      <c r="G59" s="569"/>
      <c r="H59" s="569"/>
      <c r="I59" s="569"/>
    </row>
    <row r="60" spans="1:9" ht="15.75">
      <c r="A60" s="569"/>
      <c r="B60" s="569"/>
      <c r="C60" s="569"/>
      <c r="D60" s="569"/>
      <c r="E60" s="569"/>
      <c r="F60" s="569"/>
      <c r="G60" s="569"/>
      <c r="H60" s="569"/>
      <c r="I60" s="569"/>
    </row>
    <row r="61" spans="1:9" ht="15.75">
      <c r="A61" s="569"/>
      <c r="B61" s="569"/>
      <c r="C61" s="569"/>
      <c r="D61" s="569"/>
      <c r="E61" s="569"/>
      <c r="F61" s="569"/>
      <c r="G61" s="569"/>
      <c r="H61" s="569"/>
      <c r="I61" s="569"/>
    </row>
  </sheetData>
  <sheetProtection/>
  <mergeCells count="20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J24:N24"/>
    <mergeCell ref="C37:I37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6"/>
  <sheetViews>
    <sheetView view="pageBreakPreview" zoomScale="75" zoomScaleNormal="80" zoomScaleSheetLayoutView="75" zoomScalePageLayoutView="0" workbookViewId="0" topLeftCell="A1">
      <selection activeCell="H35" sqref="H35"/>
    </sheetView>
  </sheetViews>
  <sheetFormatPr defaultColWidth="9.00390625" defaultRowHeight="15.75" outlineLevelRow="1"/>
  <cols>
    <col min="1" max="1" width="13.875" style="111" customWidth="1"/>
    <col min="2" max="2" width="31.75390625" style="334" customWidth="1"/>
    <col min="3" max="6" width="11.75390625" style="334" customWidth="1"/>
    <col min="7" max="8" width="20.00390625" style="334" customWidth="1"/>
    <col min="9" max="9" width="21.375" style="334" customWidth="1"/>
    <col min="10" max="14" width="7.875" style="334" customWidth="1"/>
    <col min="15" max="15" width="9.00390625" style="334" customWidth="1"/>
    <col min="16" max="16" width="11.625" style="111" customWidth="1"/>
    <col min="17" max="16384" width="9.00390625" style="111" customWidth="1"/>
  </cols>
  <sheetData>
    <row r="1" spans="1:14" ht="18" customHeight="1" outlineLevel="1">
      <c r="A1" s="334"/>
      <c r="B1" s="335"/>
      <c r="C1" s="335"/>
      <c r="D1" s="335"/>
      <c r="E1" s="335"/>
      <c r="F1" s="335"/>
      <c r="G1" s="335"/>
      <c r="H1" s="335"/>
      <c r="I1" s="335"/>
      <c r="N1" s="325" t="s">
        <v>503</v>
      </c>
    </row>
    <row r="2" spans="1:14" ht="15.75" outlineLevel="1">
      <c r="A2" s="334"/>
      <c r="B2" s="335"/>
      <c r="C2" s="335"/>
      <c r="D2" s="335"/>
      <c r="E2" s="335"/>
      <c r="F2" s="335"/>
      <c r="G2" s="335"/>
      <c r="H2" s="335"/>
      <c r="I2" s="335"/>
      <c r="N2" s="325" t="s">
        <v>37</v>
      </c>
    </row>
    <row r="3" spans="1:14" ht="15.75" outlineLevel="1">
      <c r="A3" s="334"/>
      <c r="B3" s="335"/>
      <c r="C3" s="335"/>
      <c r="D3" s="335"/>
      <c r="E3" s="335"/>
      <c r="F3" s="335"/>
      <c r="G3" s="335"/>
      <c r="H3" s="335"/>
      <c r="I3" s="335"/>
      <c r="N3" s="303" t="s">
        <v>379</v>
      </c>
    </row>
    <row r="4" spans="1:14" ht="15.75" outlineLevel="1">
      <c r="A4" s="334"/>
      <c r="B4" s="335"/>
      <c r="C4" s="335"/>
      <c r="D4" s="335"/>
      <c r="E4" s="335"/>
      <c r="F4" s="335"/>
      <c r="G4" s="335"/>
      <c r="H4" s="335"/>
      <c r="I4" s="335"/>
      <c r="N4" s="325"/>
    </row>
    <row r="5" spans="13:14" s="326" customFormat="1" ht="15.75" outlineLevel="1">
      <c r="M5" s="324"/>
      <c r="N5" s="112" t="s">
        <v>38</v>
      </c>
    </row>
    <row r="6" spans="13:14" s="326" customFormat="1" ht="15.75" outlineLevel="1">
      <c r="M6" s="324"/>
      <c r="N6" s="112" t="s">
        <v>698</v>
      </c>
    </row>
    <row r="7" spans="13:14" s="326" customFormat="1" ht="15.75" outlineLevel="1">
      <c r="M7" s="324"/>
      <c r="N7" s="112"/>
    </row>
    <row r="8" spans="13:14" s="326" customFormat="1" ht="15.75" outlineLevel="1">
      <c r="M8" s="324"/>
      <c r="N8" s="112" t="s">
        <v>667</v>
      </c>
    </row>
    <row r="9" spans="13:14" s="326" customFormat="1" ht="15.75" outlineLevel="1">
      <c r="M9" s="324"/>
      <c r="N9" s="112" t="s">
        <v>748</v>
      </c>
    </row>
    <row r="10" spans="13:14" s="326" customFormat="1" ht="15.75" outlineLevel="1">
      <c r="M10" s="324"/>
      <c r="N10" s="112" t="s">
        <v>42</v>
      </c>
    </row>
    <row r="11" spans="1:14" ht="33" customHeight="1">
      <c r="A11" s="849" t="s">
        <v>728</v>
      </c>
      <c r="B11" s="850"/>
      <c r="C11" s="850"/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</row>
    <row r="12" spans="1:14" ht="38.25" customHeight="1">
      <c r="A12" s="851" t="s">
        <v>695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</row>
    <row r="13" spans="1:9" ht="15.75" customHeight="1">
      <c r="A13" s="852" t="s">
        <v>736</v>
      </c>
      <c r="B13" s="852"/>
      <c r="C13" s="852"/>
      <c r="D13" s="852"/>
      <c r="E13" s="852"/>
      <c r="F13" s="852"/>
      <c r="G13" s="852"/>
      <c r="H13" s="852"/>
      <c r="I13" s="852"/>
    </row>
    <row r="14" spans="1:9" ht="15.7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9" ht="16.5" customHeight="1" thickBot="1">
      <c r="A15" s="853" t="s">
        <v>738</v>
      </c>
      <c r="B15" s="853"/>
      <c r="C15" s="854"/>
      <c r="D15" s="854"/>
      <c r="E15" s="854"/>
      <c r="F15" s="854"/>
      <c r="G15" s="854"/>
      <c r="H15" s="854"/>
      <c r="I15" s="854"/>
    </row>
    <row r="16" spans="1:14" ht="30.75" customHeight="1">
      <c r="A16" s="855" t="s">
        <v>504</v>
      </c>
      <c r="B16" s="857" t="s">
        <v>505</v>
      </c>
      <c r="C16" s="857" t="s">
        <v>506</v>
      </c>
      <c r="D16" s="857"/>
      <c r="E16" s="857"/>
      <c r="F16" s="857"/>
      <c r="G16" s="857" t="s">
        <v>507</v>
      </c>
      <c r="H16" s="857" t="s">
        <v>508</v>
      </c>
      <c r="I16" s="859" t="s">
        <v>509</v>
      </c>
      <c r="J16" s="834" t="s">
        <v>510</v>
      </c>
      <c r="K16" s="835"/>
      <c r="L16" s="835"/>
      <c r="M16" s="835"/>
      <c r="N16" s="836"/>
    </row>
    <row r="17" spans="1:14" ht="15.75">
      <c r="A17" s="856"/>
      <c r="B17" s="819"/>
      <c r="C17" s="819" t="s">
        <v>511</v>
      </c>
      <c r="D17" s="819"/>
      <c r="E17" s="819" t="s">
        <v>512</v>
      </c>
      <c r="F17" s="819"/>
      <c r="G17" s="819"/>
      <c r="H17" s="819"/>
      <c r="I17" s="860"/>
      <c r="J17" s="837"/>
      <c r="K17" s="838"/>
      <c r="L17" s="838"/>
      <c r="M17" s="838"/>
      <c r="N17" s="839"/>
    </row>
    <row r="18" spans="1:14" ht="15.75">
      <c r="A18" s="856"/>
      <c r="B18" s="819"/>
      <c r="C18" s="846" t="s">
        <v>513</v>
      </c>
      <c r="D18" s="846" t="s">
        <v>514</v>
      </c>
      <c r="E18" s="846" t="s">
        <v>513</v>
      </c>
      <c r="F18" s="846" t="s">
        <v>514</v>
      </c>
      <c r="G18" s="819"/>
      <c r="H18" s="819"/>
      <c r="I18" s="860"/>
      <c r="J18" s="840"/>
      <c r="K18" s="841"/>
      <c r="L18" s="841"/>
      <c r="M18" s="841"/>
      <c r="N18" s="842"/>
    </row>
    <row r="19" spans="1:14" ht="15.75">
      <c r="A19" s="856"/>
      <c r="B19" s="858"/>
      <c r="C19" s="847"/>
      <c r="D19" s="847"/>
      <c r="E19" s="847"/>
      <c r="F19" s="847"/>
      <c r="G19" s="819"/>
      <c r="H19" s="819"/>
      <c r="I19" s="860"/>
      <c r="J19" s="840"/>
      <c r="K19" s="841"/>
      <c r="L19" s="841"/>
      <c r="M19" s="841"/>
      <c r="N19" s="842"/>
    </row>
    <row r="20" spans="1:14" ht="15.75">
      <c r="A20" s="856"/>
      <c r="B20" s="819"/>
      <c r="C20" s="848"/>
      <c r="D20" s="848"/>
      <c r="E20" s="848"/>
      <c r="F20" s="848"/>
      <c r="G20" s="819"/>
      <c r="H20" s="819"/>
      <c r="I20" s="860"/>
      <c r="J20" s="843"/>
      <c r="K20" s="844"/>
      <c r="L20" s="844"/>
      <c r="M20" s="844"/>
      <c r="N20" s="845"/>
    </row>
    <row r="21" spans="1:14" ht="16.5" thickBot="1">
      <c r="A21" s="336">
        <v>1</v>
      </c>
      <c r="B21" s="337">
        <v>2</v>
      </c>
      <c r="C21" s="337">
        <v>3</v>
      </c>
      <c r="D21" s="337">
        <v>4</v>
      </c>
      <c r="E21" s="337">
        <v>5</v>
      </c>
      <c r="F21" s="337">
        <v>6</v>
      </c>
      <c r="G21" s="337">
        <v>8</v>
      </c>
      <c r="H21" s="337">
        <v>9</v>
      </c>
      <c r="I21" s="337">
        <v>10</v>
      </c>
      <c r="J21" s="830">
        <v>11</v>
      </c>
      <c r="K21" s="831"/>
      <c r="L21" s="831"/>
      <c r="M21" s="831"/>
      <c r="N21" s="832"/>
    </row>
    <row r="22" spans="1:14" ht="25.5">
      <c r="A22" s="633" t="s">
        <v>527</v>
      </c>
      <c r="B22" s="634" t="s">
        <v>656</v>
      </c>
      <c r="C22" s="650">
        <v>42005</v>
      </c>
      <c r="D22" s="650">
        <v>42095</v>
      </c>
      <c r="E22" s="640">
        <v>42005</v>
      </c>
      <c r="F22" s="640">
        <v>42036</v>
      </c>
      <c r="G22" s="643">
        <v>100</v>
      </c>
      <c r="H22" s="339">
        <v>100</v>
      </c>
      <c r="I22" s="339"/>
      <c r="J22" s="340"/>
      <c r="K22" s="341"/>
      <c r="L22" s="341"/>
      <c r="M22" s="341"/>
      <c r="N22" s="342"/>
    </row>
    <row r="23" spans="1:17" ht="31.5">
      <c r="A23" s="633" t="s">
        <v>529</v>
      </c>
      <c r="B23" s="634" t="s">
        <v>530</v>
      </c>
      <c r="C23" s="650">
        <v>42248</v>
      </c>
      <c r="D23" s="650">
        <v>42339</v>
      </c>
      <c r="E23" s="640">
        <v>42125</v>
      </c>
      <c r="F23" s="640">
        <v>42217</v>
      </c>
      <c r="G23" s="643">
        <v>50</v>
      </c>
      <c r="H23" s="339">
        <v>50</v>
      </c>
      <c r="I23" s="339"/>
      <c r="J23" s="340"/>
      <c r="K23" s="341"/>
      <c r="L23" s="341"/>
      <c r="M23" s="341"/>
      <c r="N23" s="342"/>
      <c r="P23" s="635" t="s">
        <v>708</v>
      </c>
      <c r="Q23" s="344"/>
    </row>
    <row r="24" spans="1:17" ht="25.5">
      <c r="A24" s="633" t="s">
        <v>531</v>
      </c>
      <c r="B24" s="634" t="s">
        <v>532</v>
      </c>
      <c r="C24" s="650">
        <v>42370</v>
      </c>
      <c r="D24" s="650">
        <v>42430</v>
      </c>
      <c r="E24" s="640">
        <v>42125</v>
      </c>
      <c r="F24" s="640" t="s">
        <v>545</v>
      </c>
      <c r="G24" s="643">
        <v>50</v>
      </c>
      <c r="H24" s="339">
        <v>50</v>
      </c>
      <c r="I24" s="339"/>
      <c r="J24" s="340"/>
      <c r="K24" s="341"/>
      <c r="L24" s="341"/>
      <c r="M24" s="341"/>
      <c r="N24" s="342"/>
      <c r="P24" s="345"/>
      <c r="Q24" s="345"/>
    </row>
    <row r="25" spans="1:17" ht="29.25" customHeight="1">
      <c r="A25" s="633" t="s">
        <v>533</v>
      </c>
      <c r="B25" s="634" t="s">
        <v>534</v>
      </c>
      <c r="C25" s="650">
        <v>42430</v>
      </c>
      <c r="D25" s="650">
        <v>42461</v>
      </c>
      <c r="E25" s="640"/>
      <c r="F25" s="640"/>
      <c r="G25" s="643"/>
      <c r="H25" s="339"/>
      <c r="I25" s="339"/>
      <c r="J25" s="340"/>
      <c r="K25" s="341"/>
      <c r="L25" s="341"/>
      <c r="M25" s="341"/>
      <c r="N25" s="342"/>
      <c r="P25" s="345"/>
      <c r="Q25" s="345"/>
    </row>
    <row r="26" spans="1:17" ht="38.25">
      <c r="A26" s="633" t="s">
        <v>535</v>
      </c>
      <c r="B26" s="634" t="s">
        <v>536</v>
      </c>
      <c r="C26" s="650">
        <v>42430</v>
      </c>
      <c r="D26" s="650">
        <v>42461</v>
      </c>
      <c r="E26" s="640"/>
      <c r="F26" s="640"/>
      <c r="G26" s="643"/>
      <c r="H26" s="339"/>
      <c r="I26" s="339"/>
      <c r="J26" s="340"/>
      <c r="K26" s="341"/>
      <c r="L26" s="341"/>
      <c r="M26" s="341"/>
      <c r="N26" s="342"/>
      <c r="P26" s="345"/>
      <c r="Q26" s="345"/>
    </row>
    <row r="27" spans="1:17" ht="15.75">
      <c r="A27" s="633" t="s">
        <v>539</v>
      </c>
      <c r="B27" s="634" t="s">
        <v>538</v>
      </c>
      <c r="C27" s="650">
        <v>42461</v>
      </c>
      <c r="D27" s="650">
        <v>42461</v>
      </c>
      <c r="E27" s="640"/>
      <c r="F27" s="640"/>
      <c r="G27" s="643"/>
      <c r="H27" s="339"/>
      <c r="I27" s="339"/>
      <c r="J27" s="340"/>
      <c r="K27" s="341"/>
      <c r="L27" s="341"/>
      <c r="M27" s="341"/>
      <c r="N27" s="342"/>
      <c r="P27" s="346"/>
      <c r="Q27" s="346"/>
    </row>
    <row r="28" ht="15.75">
      <c r="B28" s="357"/>
    </row>
    <row r="29" spans="1:2" ht="15.75">
      <c r="A29" s="111" t="s">
        <v>541</v>
      </c>
      <c r="B29" s="357"/>
    </row>
    <row r="31" spans="3:9" ht="15.75">
      <c r="C31" s="833" t="s">
        <v>542</v>
      </c>
      <c r="D31" s="833"/>
      <c r="E31" s="833"/>
      <c r="F31" s="833"/>
      <c r="G31" s="833"/>
      <c r="H31" s="833"/>
      <c r="I31" s="833"/>
    </row>
    <row r="34" ht="15.75">
      <c r="C34" s="639" t="s">
        <v>707</v>
      </c>
    </row>
    <row r="36" spans="1:9" ht="15.75">
      <c r="A36" s="569"/>
      <c r="B36" s="569"/>
      <c r="C36" s="569"/>
      <c r="D36" s="569"/>
      <c r="E36" s="569"/>
      <c r="F36" s="569"/>
      <c r="G36" s="569"/>
      <c r="H36" s="569"/>
      <c r="I36" s="569"/>
    </row>
    <row r="37" spans="1:14" ht="15.75">
      <c r="A37" s="708"/>
      <c r="B37" s="708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</row>
    <row r="38" spans="1:14" ht="15.75">
      <c r="A38" s="708"/>
      <c r="B38" s="708"/>
      <c r="C38" s="708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</row>
    <row r="39" spans="1:14" ht="15.75">
      <c r="A39" s="708"/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</row>
    <row r="40" spans="1:14" ht="15.75">
      <c r="A40" s="708"/>
      <c r="B40" s="708"/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</row>
    <row r="41" spans="1:14" ht="15.75">
      <c r="A41" s="708"/>
      <c r="B41" s="708"/>
      <c r="C41" s="708"/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</row>
    <row r="42" spans="1:14" ht="15.75">
      <c r="A42" s="708"/>
      <c r="B42" s="708"/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</row>
    <row r="43" spans="1:14" ht="15.75">
      <c r="A43" s="569"/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</row>
    <row r="44" spans="1:14" ht="15.75">
      <c r="A44" s="569"/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</row>
    <row r="45" spans="1:14" ht="15.75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</row>
    <row r="46" spans="1:9" ht="15.75">
      <c r="A46" s="569"/>
      <c r="B46" s="569"/>
      <c r="C46" s="569"/>
      <c r="D46" s="569"/>
      <c r="E46" s="569"/>
      <c r="F46" s="569"/>
      <c r="G46" s="569"/>
      <c r="H46" s="569"/>
      <c r="I46" s="569"/>
    </row>
  </sheetData>
  <sheetProtection/>
  <mergeCells count="19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C31:I31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7"/>
  <sheetViews>
    <sheetView view="pageBreakPreview" zoomScale="75" zoomScaleSheetLayoutView="75" zoomScalePageLayoutView="0" workbookViewId="0" topLeftCell="A1">
      <selection activeCell="E15" sqref="E15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125" style="111" bestFit="1" customWidth="1"/>
    <col min="6" max="16384" width="9.00390625" style="111" customWidth="1"/>
  </cols>
  <sheetData>
    <row r="1" ht="15.75" outlineLevel="1">
      <c r="C1" s="378" t="s">
        <v>553</v>
      </c>
    </row>
    <row r="2" ht="15.75" outlineLevel="1">
      <c r="C2" s="378" t="s">
        <v>37</v>
      </c>
    </row>
    <row r="3" ht="15.75" outlineLevel="1">
      <c r="C3" s="379" t="s">
        <v>379</v>
      </c>
    </row>
    <row r="4" ht="15.75" outlineLevel="1">
      <c r="C4" s="380"/>
    </row>
    <row r="5" ht="15.75" outlineLevel="1">
      <c r="C5" s="3" t="s">
        <v>38</v>
      </c>
    </row>
    <row r="6" ht="15.75" outlineLevel="1">
      <c r="C6" s="3" t="s">
        <v>698</v>
      </c>
    </row>
    <row r="7" ht="15.75" outlineLevel="1">
      <c r="C7" s="3"/>
    </row>
    <row r="8" ht="15.75" outlineLevel="1">
      <c r="C8" s="3" t="s">
        <v>667</v>
      </c>
    </row>
    <row r="9" ht="15.75" outlineLevel="1">
      <c r="C9" s="3" t="s">
        <v>748</v>
      </c>
    </row>
    <row r="10" ht="15.75" outlineLevel="1">
      <c r="C10" s="3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29.25" customHeight="1">
      <c r="A13" s="876" t="s">
        <v>688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9" ht="15.75">
      <c r="A16" s="387" t="s">
        <v>237</v>
      </c>
      <c r="B16" s="877" t="s">
        <v>557</v>
      </c>
      <c r="C16" s="878"/>
      <c r="E16" s="708"/>
      <c r="F16" s="708"/>
      <c r="G16" s="708"/>
      <c r="H16" s="569"/>
      <c r="I16" s="569"/>
    </row>
    <row r="17" spans="1:11" ht="15.75">
      <c r="A17" s="388" t="s">
        <v>238</v>
      </c>
      <c r="B17" s="389" t="s">
        <v>516</v>
      </c>
      <c r="C17" s="390" t="s">
        <v>569</v>
      </c>
      <c r="E17" s="708"/>
      <c r="F17" s="708"/>
      <c r="G17" s="708"/>
      <c r="H17" s="569"/>
      <c r="I17" s="569"/>
      <c r="J17" s="569"/>
      <c r="K17" s="569"/>
    </row>
    <row r="18" spans="1:11" ht="31.5">
      <c r="A18" s="388" t="s">
        <v>239</v>
      </c>
      <c r="B18" s="389" t="s">
        <v>544</v>
      </c>
      <c r="C18" s="390" t="s">
        <v>562</v>
      </c>
      <c r="E18" s="708"/>
      <c r="F18" s="708"/>
      <c r="G18" s="708"/>
      <c r="H18" s="569"/>
      <c r="I18" s="569"/>
      <c r="J18" s="569"/>
      <c r="K18" s="569"/>
    </row>
    <row r="19" spans="1:11" ht="15.75">
      <c r="A19" s="388" t="s">
        <v>240</v>
      </c>
      <c r="B19" s="879" t="s">
        <v>558</v>
      </c>
      <c r="C19" s="880"/>
      <c r="E19" s="708"/>
      <c r="F19" s="708"/>
      <c r="G19" s="708"/>
      <c r="H19" s="569"/>
      <c r="I19" s="569"/>
      <c r="J19" s="569"/>
      <c r="K19" s="569"/>
    </row>
    <row r="20" spans="1:11" ht="15.75">
      <c r="A20" s="388" t="s">
        <v>238</v>
      </c>
      <c r="B20" s="389" t="s">
        <v>516</v>
      </c>
      <c r="C20" s="390" t="s">
        <v>569</v>
      </c>
      <c r="E20" s="708"/>
      <c r="F20" s="708"/>
      <c r="G20" s="708"/>
      <c r="H20" s="569"/>
      <c r="I20" s="569"/>
      <c r="J20" s="569"/>
      <c r="K20" s="569"/>
    </row>
    <row r="21" spans="1:11" ht="15.75">
      <c r="A21" s="388" t="s">
        <v>240</v>
      </c>
      <c r="B21" s="879" t="s">
        <v>558</v>
      </c>
      <c r="C21" s="880"/>
      <c r="E21" s="708"/>
      <c r="F21" s="708"/>
      <c r="G21" s="708"/>
      <c r="H21" s="569"/>
      <c r="I21" s="569"/>
      <c r="J21" s="569"/>
      <c r="K21" s="569"/>
    </row>
    <row r="22" spans="1:11" ht="15.75" hidden="1">
      <c r="A22" s="388" t="s">
        <v>242</v>
      </c>
      <c r="B22" s="391" t="s">
        <v>518</v>
      </c>
      <c r="C22" s="390"/>
      <c r="E22" s="708"/>
      <c r="F22" s="708"/>
      <c r="G22" s="708"/>
      <c r="H22" s="569"/>
      <c r="I22" s="569"/>
      <c r="J22" s="569"/>
      <c r="K22" s="569"/>
    </row>
    <row r="23" spans="1:11" ht="15.75">
      <c r="A23" s="388" t="s">
        <v>244</v>
      </c>
      <c r="B23" s="391" t="s">
        <v>520</v>
      </c>
      <c r="C23" s="483" t="s">
        <v>562</v>
      </c>
      <c r="E23" s="708"/>
      <c r="F23" s="708"/>
      <c r="G23" s="708"/>
      <c r="H23" s="569"/>
      <c r="I23" s="569"/>
      <c r="J23" s="569"/>
      <c r="K23" s="569"/>
    </row>
    <row r="24" spans="1:11" ht="15.75" hidden="1">
      <c r="A24" s="388" t="s">
        <v>334</v>
      </c>
      <c r="B24" s="389" t="s">
        <v>522</v>
      </c>
      <c r="C24" s="483"/>
      <c r="E24" s="708"/>
      <c r="F24" s="708"/>
      <c r="G24" s="708"/>
      <c r="H24" s="569"/>
      <c r="I24" s="569"/>
      <c r="J24" s="569"/>
      <c r="K24" s="569"/>
    </row>
    <row r="25" spans="1:11" ht="15.75">
      <c r="A25" s="388">
        <v>3</v>
      </c>
      <c r="B25" s="872" t="s">
        <v>559</v>
      </c>
      <c r="C25" s="873"/>
      <c r="E25" s="708"/>
      <c r="F25" s="708"/>
      <c r="G25" s="708"/>
      <c r="H25" s="569"/>
      <c r="I25" s="569"/>
      <c r="J25" s="569"/>
      <c r="K25" s="569"/>
    </row>
    <row r="26" spans="1:11" ht="31.5">
      <c r="A26" s="388" t="s">
        <v>365</v>
      </c>
      <c r="B26" s="389" t="s">
        <v>524</v>
      </c>
      <c r="C26" s="390" t="s">
        <v>569</v>
      </c>
      <c r="E26" s="708"/>
      <c r="F26" s="708"/>
      <c r="G26" s="708"/>
      <c r="H26" s="569"/>
      <c r="I26" s="569"/>
      <c r="J26" s="569"/>
      <c r="K26" s="569"/>
    </row>
    <row r="27" spans="1:11" ht="31.5" hidden="1">
      <c r="A27" s="388" t="s">
        <v>366</v>
      </c>
      <c r="B27" s="389" t="s">
        <v>526</v>
      </c>
      <c r="C27" s="390"/>
      <c r="E27" s="708"/>
      <c r="F27" s="708"/>
      <c r="G27" s="708"/>
      <c r="H27" s="569"/>
      <c r="I27" s="569"/>
      <c r="J27" s="569"/>
      <c r="K27" s="569"/>
    </row>
    <row r="28" spans="1:11" ht="15.75">
      <c r="A28" s="388" t="s">
        <v>367</v>
      </c>
      <c r="B28" s="389" t="s">
        <v>528</v>
      </c>
      <c r="C28" s="390" t="s">
        <v>569</v>
      </c>
      <c r="E28" s="708"/>
      <c r="F28" s="708"/>
      <c r="G28" s="708"/>
      <c r="H28" s="569"/>
      <c r="I28" s="569"/>
      <c r="J28" s="569"/>
      <c r="K28" s="569"/>
    </row>
    <row r="29" spans="1:11" ht="15.75">
      <c r="A29" s="388">
        <v>4</v>
      </c>
      <c r="B29" s="872" t="s">
        <v>561</v>
      </c>
      <c r="C29" s="873"/>
      <c r="E29" s="708"/>
      <c r="F29" s="708"/>
      <c r="G29" s="708"/>
      <c r="H29" s="569"/>
      <c r="I29" s="569"/>
      <c r="J29" s="569"/>
      <c r="K29" s="569"/>
    </row>
    <row r="30" spans="1:11" ht="15.75">
      <c r="A30" s="388" t="s">
        <v>245</v>
      </c>
      <c r="B30" s="389" t="s">
        <v>530</v>
      </c>
      <c r="C30" s="483" t="s">
        <v>562</v>
      </c>
      <c r="E30" s="708"/>
      <c r="F30" s="708"/>
      <c r="G30" s="708"/>
      <c r="H30" s="569"/>
      <c r="I30" s="569"/>
      <c r="J30" s="569"/>
      <c r="K30" s="569"/>
    </row>
    <row r="31" spans="1:11" ht="15" customHeight="1">
      <c r="A31" s="388" t="s">
        <v>305</v>
      </c>
      <c r="B31" s="389" t="s">
        <v>532</v>
      </c>
      <c r="C31" s="483" t="s">
        <v>562</v>
      </c>
      <c r="E31" s="708"/>
      <c r="F31" s="708"/>
      <c r="G31" s="708"/>
      <c r="H31" s="569"/>
      <c r="I31" s="569"/>
      <c r="J31" s="569"/>
      <c r="K31" s="569"/>
    </row>
    <row r="32" spans="1:11" ht="15" customHeight="1">
      <c r="A32" s="388" t="s">
        <v>563</v>
      </c>
      <c r="B32" s="389" t="s">
        <v>534</v>
      </c>
      <c r="C32" s="483" t="s">
        <v>562</v>
      </c>
      <c r="E32" s="708"/>
      <c r="F32" s="708"/>
      <c r="G32" s="708"/>
      <c r="H32" s="569"/>
      <c r="I32" s="569"/>
      <c r="J32" s="569"/>
      <c r="K32" s="569"/>
    </row>
    <row r="33" spans="1:11" ht="15.75">
      <c r="A33" s="388">
        <v>6</v>
      </c>
      <c r="B33" s="872" t="s">
        <v>564</v>
      </c>
      <c r="C33" s="873"/>
      <c r="E33" s="708"/>
      <c r="F33" s="708"/>
      <c r="G33" s="708"/>
      <c r="H33" s="569"/>
      <c r="I33" s="569"/>
      <c r="J33" s="569"/>
      <c r="K33" s="569"/>
    </row>
    <row r="34" spans="1:11" ht="31.5">
      <c r="A34" s="388" t="s">
        <v>565</v>
      </c>
      <c r="B34" s="389" t="s">
        <v>536</v>
      </c>
      <c r="C34" s="483" t="s">
        <v>562</v>
      </c>
      <c r="E34" s="708"/>
      <c r="F34" s="708"/>
      <c r="G34" s="708"/>
      <c r="H34" s="569"/>
      <c r="I34" s="569"/>
      <c r="J34" s="569"/>
      <c r="K34" s="569"/>
    </row>
    <row r="35" spans="1:11" ht="15.75">
      <c r="A35" s="388" t="s">
        <v>566</v>
      </c>
      <c r="B35" s="389" t="s">
        <v>538</v>
      </c>
      <c r="C35" s="483" t="s">
        <v>562</v>
      </c>
      <c r="E35" s="708"/>
      <c r="F35" s="708"/>
      <c r="G35" s="708"/>
      <c r="H35" s="569"/>
      <c r="I35" s="569"/>
      <c r="J35" s="569"/>
      <c r="K35" s="569"/>
    </row>
    <row r="36" spans="1:11" ht="46.5" customHeight="1" thickBot="1">
      <c r="A36" s="336" t="s">
        <v>567</v>
      </c>
      <c r="B36" s="392" t="s">
        <v>568</v>
      </c>
      <c r="C36" s="393" t="s">
        <v>569</v>
      </c>
      <c r="E36" s="708"/>
      <c r="F36" s="708"/>
      <c r="G36" s="708"/>
      <c r="H36" s="569"/>
      <c r="I36" s="569"/>
      <c r="J36" s="569"/>
      <c r="K36" s="569"/>
    </row>
    <row r="39" spans="1:3" ht="15.75">
      <c r="A39" s="874" t="s">
        <v>376</v>
      </c>
      <c r="B39" s="874"/>
      <c r="C39" s="874"/>
    </row>
    <row r="41" spans="1:3" ht="15.75">
      <c r="A41" s="569"/>
      <c r="B41" s="569"/>
      <c r="C41" s="569"/>
    </row>
    <row r="42" spans="1:3" ht="15.75">
      <c r="A42" s="569"/>
      <c r="B42" s="569"/>
      <c r="C42" s="569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  <row r="63" spans="1:3" ht="15.75">
      <c r="A63" s="569"/>
      <c r="B63" s="569"/>
      <c r="C63" s="569"/>
    </row>
    <row r="64" spans="1:3" ht="15.75">
      <c r="A64" s="569"/>
      <c r="B64" s="569"/>
      <c r="C64" s="569"/>
    </row>
    <row r="65" spans="1:3" ht="15.75">
      <c r="A65" s="569"/>
      <c r="B65" s="569"/>
      <c r="C65" s="569"/>
    </row>
    <row r="66" spans="1:3" ht="15.75">
      <c r="A66" s="569"/>
      <c r="B66" s="569"/>
      <c r="C66" s="569"/>
    </row>
    <row r="67" spans="1:3" ht="15.75">
      <c r="A67" s="569"/>
      <c r="B67" s="569"/>
      <c r="C67" s="569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3"/>
  <sheetViews>
    <sheetView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125" style="111" bestFit="1" customWidth="1"/>
    <col min="6" max="16384" width="9.00390625" style="111" customWidth="1"/>
  </cols>
  <sheetData>
    <row r="1" ht="15.75" outlineLevel="1">
      <c r="C1" s="378" t="s">
        <v>553</v>
      </c>
    </row>
    <row r="2" ht="15.75" outlineLevel="1">
      <c r="C2" s="378" t="s">
        <v>37</v>
      </c>
    </row>
    <row r="3" ht="15.75" outlineLevel="1">
      <c r="C3" s="379" t="s">
        <v>379</v>
      </c>
    </row>
    <row r="4" ht="15.75" outlineLevel="1">
      <c r="C4" s="380"/>
    </row>
    <row r="5" ht="15.75" outlineLevel="1">
      <c r="C5" s="3" t="s">
        <v>38</v>
      </c>
    </row>
    <row r="6" ht="15.75" outlineLevel="1">
      <c r="C6" s="3" t="s">
        <v>698</v>
      </c>
    </row>
    <row r="7" ht="15.75" outlineLevel="1">
      <c r="C7" s="3"/>
    </row>
    <row r="8" ht="15.75" outlineLevel="1">
      <c r="C8" s="3" t="s">
        <v>667</v>
      </c>
    </row>
    <row r="9" ht="15.75" outlineLevel="1">
      <c r="C9" s="3" t="s">
        <v>748</v>
      </c>
    </row>
    <row r="10" ht="15.75" outlineLevel="1">
      <c r="C10" s="3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30.75" customHeight="1">
      <c r="A13" s="876" t="s">
        <v>689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7" ht="15.75">
      <c r="A16" s="387" t="s">
        <v>237</v>
      </c>
      <c r="B16" s="877" t="s">
        <v>557</v>
      </c>
      <c r="C16" s="878"/>
      <c r="E16" s="708"/>
      <c r="F16" s="708"/>
      <c r="G16" s="708"/>
    </row>
    <row r="17" spans="1:8" ht="15.75">
      <c r="A17" s="388" t="s">
        <v>238</v>
      </c>
      <c r="B17" s="389" t="s">
        <v>516</v>
      </c>
      <c r="C17" s="390" t="s">
        <v>569</v>
      </c>
      <c r="E17" s="708"/>
      <c r="F17" s="708"/>
      <c r="G17" s="708"/>
      <c r="H17" s="569"/>
    </row>
    <row r="18" spans="1:8" ht="31.5">
      <c r="A18" s="388" t="s">
        <v>239</v>
      </c>
      <c r="B18" s="389" t="s">
        <v>544</v>
      </c>
      <c r="C18" s="390" t="s">
        <v>562</v>
      </c>
      <c r="E18" s="708"/>
      <c r="F18" s="708"/>
      <c r="G18" s="708"/>
      <c r="H18" s="569"/>
    </row>
    <row r="19" spans="1:8" ht="15.75">
      <c r="A19" s="388" t="s">
        <v>240</v>
      </c>
      <c r="B19" s="879" t="s">
        <v>558</v>
      </c>
      <c r="C19" s="880"/>
      <c r="E19" s="708"/>
      <c r="F19" s="708"/>
      <c r="G19" s="708"/>
      <c r="H19" s="569"/>
    </row>
    <row r="20" spans="1:8" ht="15.75">
      <c r="A20" s="388" t="s">
        <v>238</v>
      </c>
      <c r="B20" s="389" t="s">
        <v>516</v>
      </c>
      <c r="C20" s="390" t="s">
        <v>569</v>
      </c>
      <c r="E20" s="708"/>
      <c r="F20" s="708"/>
      <c r="G20" s="708"/>
      <c r="H20" s="569"/>
    </row>
    <row r="21" spans="1:8" ht="15.75">
      <c r="A21" s="388" t="s">
        <v>240</v>
      </c>
      <c r="B21" s="879" t="s">
        <v>558</v>
      </c>
      <c r="C21" s="880"/>
      <c r="E21" s="708"/>
      <c r="F21" s="708"/>
      <c r="G21" s="708"/>
      <c r="H21" s="569"/>
    </row>
    <row r="22" spans="1:8" ht="15.75" hidden="1">
      <c r="A22" s="388" t="s">
        <v>242</v>
      </c>
      <c r="B22" s="391" t="s">
        <v>518</v>
      </c>
      <c r="C22" s="390"/>
      <c r="E22" s="708"/>
      <c r="F22" s="708"/>
      <c r="G22" s="708"/>
      <c r="H22" s="569"/>
    </row>
    <row r="23" spans="1:8" ht="15.75">
      <c r="A23" s="388" t="s">
        <v>244</v>
      </c>
      <c r="B23" s="391" t="s">
        <v>520</v>
      </c>
      <c r="C23" s="390" t="s">
        <v>562</v>
      </c>
      <c r="E23" s="708"/>
      <c r="F23" s="708"/>
      <c r="G23" s="708"/>
      <c r="H23" s="569"/>
    </row>
    <row r="24" spans="1:8" ht="15.75" hidden="1">
      <c r="A24" s="388" t="s">
        <v>334</v>
      </c>
      <c r="B24" s="389" t="s">
        <v>522</v>
      </c>
      <c r="C24" s="390"/>
      <c r="E24" s="708"/>
      <c r="F24" s="708"/>
      <c r="G24" s="708"/>
      <c r="H24" s="569"/>
    </row>
    <row r="25" spans="1:8" ht="15.75">
      <c r="A25" s="388">
        <v>3</v>
      </c>
      <c r="B25" s="872" t="s">
        <v>559</v>
      </c>
      <c r="C25" s="873"/>
      <c r="E25" s="708"/>
      <c r="F25" s="708"/>
      <c r="G25" s="708"/>
      <c r="H25" s="569"/>
    </row>
    <row r="26" spans="1:8" ht="31.5">
      <c r="A26" s="388" t="s">
        <v>365</v>
      </c>
      <c r="B26" s="389" t="s">
        <v>524</v>
      </c>
      <c r="C26" s="390" t="s">
        <v>569</v>
      </c>
      <c r="E26" s="708"/>
      <c r="F26" s="708"/>
      <c r="G26" s="708"/>
      <c r="H26" s="569"/>
    </row>
    <row r="27" spans="1:8" ht="31.5" hidden="1">
      <c r="A27" s="388" t="s">
        <v>366</v>
      </c>
      <c r="B27" s="389" t="s">
        <v>526</v>
      </c>
      <c r="C27" s="390"/>
      <c r="E27" s="708"/>
      <c r="F27" s="708"/>
      <c r="G27" s="708"/>
      <c r="H27" s="569"/>
    </row>
    <row r="28" spans="1:8" ht="15.75" hidden="1">
      <c r="A28" s="388" t="s">
        <v>367</v>
      </c>
      <c r="B28" s="389" t="s">
        <v>528</v>
      </c>
      <c r="C28" s="390"/>
      <c r="E28" s="708"/>
      <c r="F28" s="708"/>
      <c r="G28" s="708"/>
      <c r="H28" s="569"/>
    </row>
    <row r="29" spans="1:8" ht="15.75">
      <c r="A29" s="388">
        <v>4</v>
      </c>
      <c r="B29" s="872" t="s">
        <v>561</v>
      </c>
      <c r="C29" s="873"/>
      <c r="E29" s="708"/>
      <c r="F29" s="708"/>
      <c r="G29" s="708"/>
      <c r="H29" s="569"/>
    </row>
    <row r="30" spans="1:8" ht="15.75">
      <c r="A30" s="388" t="s">
        <v>245</v>
      </c>
      <c r="B30" s="389" t="s">
        <v>530</v>
      </c>
      <c r="C30" s="390" t="s">
        <v>562</v>
      </c>
      <c r="E30" s="708"/>
      <c r="F30" s="708"/>
      <c r="G30" s="708"/>
      <c r="H30" s="569"/>
    </row>
    <row r="31" spans="1:8" ht="15" customHeight="1">
      <c r="A31" s="388" t="s">
        <v>305</v>
      </c>
      <c r="B31" s="389" t="s">
        <v>532</v>
      </c>
      <c r="C31" s="390" t="s">
        <v>562</v>
      </c>
      <c r="E31" s="708"/>
      <c r="F31" s="708"/>
      <c r="G31" s="708"/>
      <c r="H31" s="569"/>
    </row>
    <row r="32" spans="1:8" ht="15" customHeight="1" hidden="1">
      <c r="A32" s="388" t="s">
        <v>563</v>
      </c>
      <c r="B32" s="389" t="s">
        <v>534</v>
      </c>
      <c r="C32" s="390"/>
      <c r="E32" s="708"/>
      <c r="F32" s="708"/>
      <c r="G32" s="708"/>
      <c r="H32" s="569"/>
    </row>
    <row r="33" spans="1:8" ht="15.75">
      <c r="A33" s="388">
        <v>6</v>
      </c>
      <c r="B33" s="872" t="s">
        <v>564</v>
      </c>
      <c r="C33" s="873"/>
      <c r="E33" s="708"/>
      <c r="F33" s="708"/>
      <c r="G33" s="708"/>
      <c r="H33" s="569"/>
    </row>
    <row r="34" spans="1:8" ht="31.5">
      <c r="A34" s="388" t="s">
        <v>565</v>
      </c>
      <c r="B34" s="389" t="s">
        <v>536</v>
      </c>
      <c r="C34" s="390" t="s">
        <v>562</v>
      </c>
      <c r="E34" s="708"/>
      <c r="F34" s="708"/>
      <c r="G34" s="708"/>
      <c r="H34" s="569"/>
    </row>
    <row r="35" spans="1:8" ht="15.75">
      <c r="A35" s="388" t="s">
        <v>566</v>
      </c>
      <c r="B35" s="389" t="s">
        <v>538</v>
      </c>
      <c r="C35" s="390" t="s">
        <v>562</v>
      </c>
      <c r="E35" s="708"/>
      <c r="F35" s="708"/>
      <c r="G35" s="708"/>
      <c r="H35" s="569"/>
    </row>
    <row r="36" spans="1:8" ht="46.5" customHeight="1" thickBot="1">
      <c r="A36" s="336" t="s">
        <v>567</v>
      </c>
      <c r="B36" s="392" t="s">
        <v>568</v>
      </c>
      <c r="C36" s="390" t="s">
        <v>569</v>
      </c>
      <c r="E36" s="708"/>
      <c r="F36" s="708"/>
      <c r="G36" s="708"/>
      <c r="H36" s="569"/>
    </row>
    <row r="39" spans="1:3" ht="15.75">
      <c r="A39" s="874" t="s">
        <v>376</v>
      </c>
      <c r="B39" s="874"/>
      <c r="C39" s="874"/>
    </row>
    <row r="41" spans="1:3" ht="15.75">
      <c r="A41" s="569"/>
      <c r="B41" s="569"/>
      <c r="C41" s="569"/>
    </row>
    <row r="42" spans="1:3" ht="15.75">
      <c r="A42" s="569"/>
      <c r="B42" s="569"/>
      <c r="C42" s="569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  <row r="63" ht="15.75">
      <c r="C63" s="111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6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78" t="s">
        <v>553</v>
      </c>
    </row>
    <row r="2" ht="15.75" outlineLevel="1">
      <c r="C2" s="378" t="s">
        <v>37</v>
      </c>
    </row>
    <row r="3" ht="15.75" outlineLevel="1">
      <c r="C3" s="379" t="s">
        <v>379</v>
      </c>
    </row>
    <row r="4" ht="15.75" outlineLevel="1">
      <c r="C4" s="380"/>
    </row>
    <row r="5" ht="15.75" outlineLevel="1">
      <c r="C5" s="380" t="s">
        <v>38</v>
      </c>
    </row>
    <row r="6" ht="15.75" outlineLevel="1">
      <c r="C6" s="380" t="s">
        <v>698</v>
      </c>
    </row>
    <row r="7" ht="15.75" outlineLevel="1">
      <c r="C7" s="380"/>
    </row>
    <row r="8" ht="15.75" outlineLevel="1">
      <c r="C8" s="380" t="s">
        <v>667</v>
      </c>
    </row>
    <row r="9" ht="15.75" outlineLevel="1">
      <c r="C9" s="112" t="s">
        <v>748</v>
      </c>
    </row>
    <row r="10" ht="15.75" outlineLevel="1">
      <c r="C10" s="380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31.5" customHeight="1">
      <c r="A13" s="876" t="s">
        <v>690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7" ht="15.75">
      <c r="A16" s="387" t="s">
        <v>237</v>
      </c>
      <c r="B16" s="877" t="s">
        <v>557</v>
      </c>
      <c r="C16" s="878"/>
      <c r="E16" s="708"/>
      <c r="F16" s="708"/>
      <c r="G16" s="708"/>
    </row>
    <row r="17" spans="1:7" ht="15.75">
      <c r="A17" s="388" t="s">
        <v>238</v>
      </c>
      <c r="B17" s="389" t="s">
        <v>516</v>
      </c>
      <c r="C17" s="390" t="s">
        <v>569</v>
      </c>
      <c r="E17" s="708"/>
      <c r="F17" s="708"/>
      <c r="G17" s="708"/>
    </row>
    <row r="18" spans="1:7" ht="31.5">
      <c r="A18" s="388" t="s">
        <v>239</v>
      </c>
      <c r="B18" s="389" t="s">
        <v>544</v>
      </c>
      <c r="C18" s="390" t="s">
        <v>562</v>
      </c>
      <c r="E18" s="708"/>
      <c r="F18" s="708"/>
      <c r="G18" s="708"/>
    </row>
    <row r="19" spans="1:7" ht="15.75">
      <c r="A19" s="388" t="s">
        <v>240</v>
      </c>
      <c r="B19" s="879" t="s">
        <v>558</v>
      </c>
      <c r="C19" s="880"/>
      <c r="E19" s="708"/>
      <c r="F19" s="708"/>
      <c r="G19" s="708"/>
    </row>
    <row r="20" spans="1:7" ht="15.75">
      <c r="A20" s="388" t="s">
        <v>238</v>
      </c>
      <c r="B20" s="389" t="s">
        <v>516</v>
      </c>
      <c r="C20" s="390" t="s">
        <v>569</v>
      </c>
      <c r="E20" s="708"/>
      <c r="F20" s="708"/>
      <c r="G20" s="708"/>
    </row>
    <row r="21" spans="1:7" ht="15.75">
      <c r="A21" s="388" t="s">
        <v>240</v>
      </c>
      <c r="B21" s="879" t="s">
        <v>558</v>
      </c>
      <c r="C21" s="880"/>
      <c r="E21" s="708"/>
      <c r="F21" s="708"/>
      <c r="G21" s="708"/>
    </row>
    <row r="22" spans="1:7" ht="15.75">
      <c r="A22" s="388" t="s">
        <v>242</v>
      </c>
      <c r="B22" s="391" t="s">
        <v>518</v>
      </c>
      <c r="C22" s="390" t="s">
        <v>562</v>
      </c>
      <c r="E22" s="708"/>
      <c r="F22" s="708"/>
      <c r="G22" s="708"/>
    </row>
    <row r="23" spans="1:7" ht="15.75">
      <c r="A23" s="388" t="s">
        <v>244</v>
      </c>
      <c r="B23" s="391" t="s">
        <v>520</v>
      </c>
      <c r="C23" s="390" t="s">
        <v>562</v>
      </c>
      <c r="E23" s="708"/>
      <c r="F23" s="708"/>
      <c r="G23" s="708"/>
    </row>
    <row r="24" spans="1:7" ht="15.75">
      <c r="A24" s="388" t="s">
        <v>334</v>
      </c>
      <c r="B24" s="389" t="s">
        <v>522</v>
      </c>
      <c r="C24" s="390"/>
      <c r="E24" s="708"/>
      <c r="F24" s="708"/>
      <c r="G24" s="708"/>
    </row>
    <row r="25" spans="1:7" ht="15.75">
      <c r="A25" s="388">
        <v>3</v>
      </c>
      <c r="B25" s="872" t="s">
        <v>559</v>
      </c>
      <c r="C25" s="873"/>
      <c r="E25" s="708"/>
      <c r="F25" s="708"/>
      <c r="G25" s="708"/>
    </row>
    <row r="26" spans="1:7" ht="31.5">
      <c r="A26" s="388" t="s">
        <v>365</v>
      </c>
      <c r="B26" s="389" t="s">
        <v>524</v>
      </c>
      <c r="C26" s="390"/>
      <c r="E26" s="708"/>
      <c r="F26" s="708"/>
      <c r="G26" s="708"/>
    </row>
    <row r="27" spans="1:7" ht="31.5">
      <c r="A27" s="388" t="s">
        <v>366</v>
      </c>
      <c r="B27" s="389" t="s">
        <v>526</v>
      </c>
      <c r="C27" s="483"/>
      <c r="E27" s="708"/>
      <c r="F27" s="708"/>
      <c r="G27" s="708"/>
    </row>
    <row r="28" spans="1:7" ht="15.75">
      <c r="A28" s="388" t="s">
        <v>367</v>
      </c>
      <c r="B28" s="389" t="s">
        <v>528</v>
      </c>
      <c r="C28" s="390"/>
      <c r="E28" s="708"/>
      <c r="F28" s="708"/>
      <c r="G28" s="708"/>
    </row>
    <row r="29" spans="1:7" ht="15.75">
      <c r="A29" s="388">
        <v>4</v>
      </c>
      <c r="B29" s="872" t="s">
        <v>561</v>
      </c>
      <c r="C29" s="873"/>
      <c r="E29" s="708"/>
      <c r="F29" s="708"/>
      <c r="G29" s="708"/>
    </row>
    <row r="30" spans="1:7" ht="15.75">
      <c r="A30" s="388" t="s">
        <v>245</v>
      </c>
      <c r="B30" s="389" t="s">
        <v>530</v>
      </c>
      <c r="C30" s="390"/>
      <c r="E30" s="708"/>
      <c r="F30" s="708"/>
      <c r="G30" s="708"/>
    </row>
    <row r="31" spans="1:7" ht="15" customHeight="1">
      <c r="A31" s="388" t="s">
        <v>305</v>
      </c>
      <c r="B31" s="389" t="s">
        <v>532</v>
      </c>
      <c r="C31" s="390"/>
      <c r="E31" s="708"/>
      <c r="F31" s="708"/>
      <c r="G31" s="708"/>
    </row>
    <row r="32" spans="1:7" ht="15" customHeight="1">
      <c r="A32" s="388" t="s">
        <v>563</v>
      </c>
      <c r="B32" s="389" t="s">
        <v>534</v>
      </c>
      <c r="C32" s="390"/>
      <c r="E32" s="708"/>
      <c r="F32" s="708"/>
      <c r="G32" s="708"/>
    </row>
    <row r="33" spans="1:7" ht="15.75">
      <c r="A33" s="388">
        <v>6</v>
      </c>
      <c r="B33" s="872" t="s">
        <v>564</v>
      </c>
      <c r="C33" s="873"/>
      <c r="E33" s="708"/>
      <c r="F33" s="708"/>
      <c r="G33" s="708"/>
    </row>
    <row r="34" spans="1:7" ht="31.5">
      <c r="A34" s="388" t="s">
        <v>565</v>
      </c>
      <c r="B34" s="389" t="s">
        <v>536</v>
      </c>
      <c r="C34" s="390"/>
      <c r="E34" s="708"/>
      <c r="F34" s="708"/>
      <c r="G34" s="708"/>
    </row>
    <row r="35" spans="1:7" ht="15.75">
      <c r="A35" s="388" t="s">
        <v>566</v>
      </c>
      <c r="B35" s="389" t="s">
        <v>538</v>
      </c>
      <c r="C35" s="390"/>
      <c r="E35" s="708"/>
      <c r="F35" s="708"/>
      <c r="G35" s="708"/>
    </row>
    <row r="36" spans="1:7" ht="46.5" customHeight="1" thickBot="1">
      <c r="A36" s="336" t="s">
        <v>567</v>
      </c>
      <c r="B36" s="392" t="s">
        <v>568</v>
      </c>
      <c r="C36" s="393"/>
      <c r="E36" s="708"/>
      <c r="F36" s="708"/>
      <c r="G36" s="708"/>
    </row>
    <row r="39" spans="1:3" ht="15.75">
      <c r="A39" s="874" t="s">
        <v>376</v>
      </c>
      <c r="B39" s="874"/>
      <c r="C39" s="874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  <row r="63" spans="1:3" ht="15.75">
      <c r="A63" s="569"/>
      <c r="B63" s="569"/>
      <c r="C63" s="569"/>
    </row>
    <row r="64" spans="1:3" ht="15.75">
      <c r="A64" s="569"/>
      <c r="B64" s="569"/>
      <c r="C64" s="569"/>
    </row>
    <row r="65" spans="1:3" ht="15.75">
      <c r="A65" s="569"/>
      <c r="B65" s="569"/>
      <c r="C65" s="569"/>
    </row>
    <row r="66" spans="1:3" ht="15.75">
      <c r="A66" s="569"/>
      <c r="B66" s="569"/>
      <c r="C66" s="569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6"/>
  <sheetViews>
    <sheetView view="pageBreakPreview" zoomScale="75" zoomScaleSheetLayoutView="75" zoomScalePageLayoutView="0" workbookViewId="0" topLeftCell="A1">
      <selection activeCell="F22" sqref="F22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78" t="s">
        <v>553</v>
      </c>
    </row>
    <row r="2" ht="15.75" outlineLevel="1">
      <c r="C2" s="378" t="s">
        <v>37</v>
      </c>
    </row>
    <row r="3" ht="15.75" outlineLevel="1">
      <c r="C3" s="379" t="s">
        <v>379</v>
      </c>
    </row>
    <row r="4" ht="15.75" outlineLevel="1">
      <c r="C4" s="380"/>
    </row>
    <row r="5" ht="15.75" outlineLevel="1">
      <c r="C5" s="380" t="s">
        <v>38</v>
      </c>
    </row>
    <row r="6" ht="15.75" outlineLevel="1">
      <c r="C6" s="380" t="s">
        <v>698</v>
      </c>
    </row>
    <row r="7" ht="15.75" outlineLevel="1">
      <c r="C7" s="380"/>
    </row>
    <row r="8" ht="15.75" outlineLevel="1">
      <c r="C8" s="380" t="s">
        <v>667</v>
      </c>
    </row>
    <row r="9" ht="15.75" outlineLevel="1">
      <c r="C9" s="112" t="s">
        <v>748</v>
      </c>
    </row>
    <row r="10" ht="15.75" outlineLevel="1">
      <c r="C10" s="380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31.5" customHeight="1">
      <c r="A13" s="876" t="s">
        <v>691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7" ht="15.75">
      <c r="A16" s="387" t="s">
        <v>237</v>
      </c>
      <c r="B16" s="877" t="s">
        <v>557</v>
      </c>
      <c r="C16" s="878"/>
      <c r="E16" s="708"/>
      <c r="F16" s="708"/>
      <c r="G16" s="708"/>
    </row>
    <row r="17" spans="1:7" ht="15.75">
      <c r="A17" s="388" t="s">
        <v>238</v>
      </c>
      <c r="B17" s="389" t="s">
        <v>516</v>
      </c>
      <c r="C17" s="390" t="s">
        <v>562</v>
      </c>
      <c r="E17" s="708"/>
      <c r="F17" s="708"/>
      <c r="G17" s="708"/>
    </row>
    <row r="18" spans="1:7" ht="31.5" hidden="1">
      <c r="A18" s="388" t="s">
        <v>239</v>
      </c>
      <c r="B18" s="389" t="s">
        <v>544</v>
      </c>
      <c r="C18" s="390"/>
      <c r="E18" s="708"/>
      <c r="F18" s="708"/>
      <c r="G18" s="708"/>
    </row>
    <row r="19" spans="1:7" ht="15.75">
      <c r="A19" s="388" t="s">
        <v>240</v>
      </c>
      <c r="B19" s="879" t="s">
        <v>558</v>
      </c>
      <c r="C19" s="880"/>
      <c r="E19" s="708"/>
      <c r="F19" s="708"/>
      <c r="G19" s="708"/>
    </row>
    <row r="20" spans="1:7" ht="15.75">
      <c r="A20" s="388" t="s">
        <v>238</v>
      </c>
      <c r="B20" s="389" t="s">
        <v>516</v>
      </c>
      <c r="C20" s="390" t="s">
        <v>560</v>
      </c>
      <c r="E20" s="708"/>
      <c r="F20" s="708"/>
      <c r="G20" s="708"/>
    </row>
    <row r="21" spans="1:7" ht="15.75">
      <c r="A21" s="388" t="s">
        <v>240</v>
      </c>
      <c r="B21" s="879" t="s">
        <v>558</v>
      </c>
      <c r="C21" s="880"/>
      <c r="E21" s="708"/>
      <c r="F21" s="708"/>
      <c r="G21" s="708"/>
    </row>
    <row r="22" spans="1:7" ht="15.75">
      <c r="A22" s="388" t="s">
        <v>242</v>
      </c>
      <c r="B22" s="391" t="s">
        <v>518</v>
      </c>
      <c r="C22" s="390" t="s">
        <v>562</v>
      </c>
      <c r="E22" s="708"/>
      <c r="F22" s="708"/>
      <c r="G22" s="708"/>
    </row>
    <row r="23" spans="1:7" ht="15.75">
      <c r="A23" s="388" t="s">
        <v>244</v>
      </c>
      <c r="B23" s="391" t="s">
        <v>520</v>
      </c>
      <c r="C23" s="390" t="s">
        <v>562</v>
      </c>
      <c r="E23" s="708"/>
      <c r="F23" s="708"/>
      <c r="G23" s="708"/>
    </row>
    <row r="24" spans="1:7" ht="15.75">
      <c r="A24" s="388" t="s">
        <v>334</v>
      </c>
      <c r="B24" s="389" t="s">
        <v>522</v>
      </c>
      <c r="C24" s="390"/>
      <c r="E24" s="708"/>
      <c r="F24" s="708"/>
      <c r="G24" s="708"/>
    </row>
    <row r="25" spans="1:7" ht="15.75">
      <c r="A25" s="388">
        <v>3</v>
      </c>
      <c r="B25" s="872" t="s">
        <v>559</v>
      </c>
      <c r="C25" s="873"/>
      <c r="E25" s="708"/>
      <c r="F25" s="708"/>
      <c r="G25" s="708"/>
    </row>
    <row r="26" spans="1:7" ht="31.5">
      <c r="A26" s="388" t="s">
        <v>365</v>
      </c>
      <c r="B26" s="389" t="s">
        <v>524</v>
      </c>
      <c r="C26" s="390"/>
      <c r="E26" s="708"/>
      <c r="F26" s="708"/>
      <c r="G26" s="708"/>
    </row>
    <row r="27" spans="1:7" ht="31.5">
      <c r="A27" s="388" t="s">
        <v>366</v>
      </c>
      <c r="B27" s="389" t="s">
        <v>526</v>
      </c>
      <c r="C27" s="390"/>
      <c r="E27" s="708"/>
      <c r="F27" s="708"/>
      <c r="G27" s="708"/>
    </row>
    <row r="28" spans="1:7" ht="15.75">
      <c r="A28" s="388" t="s">
        <v>367</v>
      </c>
      <c r="B28" s="389" t="s">
        <v>528</v>
      </c>
      <c r="C28" s="390"/>
      <c r="E28" s="708"/>
      <c r="F28" s="708"/>
      <c r="G28" s="708"/>
    </row>
    <row r="29" spans="1:7" ht="15.75">
      <c r="A29" s="388">
        <v>4</v>
      </c>
      <c r="B29" s="872" t="s">
        <v>561</v>
      </c>
      <c r="C29" s="873"/>
      <c r="E29" s="708"/>
      <c r="F29" s="708"/>
      <c r="G29" s="708"/>
    </row>
    <row r="30" spans="1:7" ht="15.75">
      <c r="A30" s="388" t="s">
        <v>245</v>
      </c>
      <c r="B30" s="389" t="s">
        <v>530</v>
      </c>
      <c r="C30" s="390"/>
      <c r="E30" s="708"/>
      <c r="F30" s="708"/>
      <c r="G30" s="708"/>
    </row>
    <row r="31" spans="1:7" ht="15" customHeight="1">
      <c r="A31" s="388" t="s">
        <v>305</v>
      </c>
      <c r="B31" s="389" t="s">
        <v>532</v>
      </c>
      <c r="C31" s="390"/>
      <c r="E31" s="708"/>
      <c r="F31" s="708"/>
      <c r="G31" s="708"/>
    </row>
    <row r="32" spans="1:7" ht="15" customHeight="1">
      <c r="A32" s="388" t="s">
        <v>563</v>
      </c>
      <c r="B32" s="389" t="s">
        <v>534</v>
      </c>
      <c r="C32" s="390"/>
      <c r="E32" s="708"/>
      <c r="F32" s="708"/>
      <c r="G32" s="708"/>
    </row>
    <row r="33" spans="1:7" ht="15.75">
      <c r="A33" s="388">
        <v>6</v>
      </c>
      <c r="B33" s="872" t="s">
        <v>564</v>
      </c>
      <c r="C33" s="873"/>
      <c r="E33" s="708"/>
      <c r="F33" s="708"/>
      <c r="G33" s="708"/>
    </row>
    <row r="34" spans="1:7" ht="31.5">
      <c r="A34" s="388" t="s">
        <v>565</v>
      </c>
      <c r="B34" s="389" t="s">
        <v>536</v>
      </c>
      <c r="C34" s="390"/>
      <c r="E34" s="708"/>
      <c r="F34" s="708"/>
      <c r="G34" s="708"/>
    </row>
    <row r="35" spans="1:7" ht="15.75">
      <c r="A35" s="388" t="s">
        <v>566</v>
      </c>
      <c r="B35" s="389" t="s">
        <v>538</v>
      </c>
      <c r="C35" s="390"/>
      <c r="E35" s="708"/>
      <c r="F35" s="708"/>
      <c r="G35" s="708"/>
    </row>
    <row r="36" spans="1:7" ht="46.5" customHeight="1" thickBot="1">
      <c r="A36" s="336" t="s">
        <v>567</v>
      </c>
      <c r="B36" s="392" t="s">
        <v>568</v>
      </c>
      <c r="C36" s="393"/>
      <c r="E36" s="708"/>
      <c r="F36" s="708"/>
      <c r="G36" s="708"/>
    </row>
    <row r="39" spans="1:3" ht="15.75">
      <c r="A39" s="874" t="s">
        <v>376</v>
      </c>
      <c r="B39" s="874"/>
      <c r="C39" s="874"/>
    </row>
    <row r="42" spans="1:3" ht="15.75">
      <c r="A42" s="569"/>
      <c r="B42" s="569"/>
      <c r="C42" s="569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  <row r="63" spans="1:3" ht="15.75">
      <c r="A63" s="569"/>
      <c r="B63" s="569"/>
      <c r="C63" s="569"/>
    </row>
    <row r="64" spans="1:3" ht="15.75">
      <c r="A64" s="569"/>
      <c r="B64" s="569"/>
      <c r="C64" s="569"/>
    </row>
    <row r="65" spans="1:3" ht="15.75">
      <c r="A65" s="569"/>
      <c r="B65" s="569"/>
      <c r="C65" s="569"/>
    </row>
    <row r="66" spans="1:3" ht="15.75">
      <c r="A66" s="569"/>
      <c r="B66" s="569"/>
      <c r="C66" s="569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0"/>
  <sheetViews>
    <sheetView view="pageBreakPreview" zoomScale="74" zoomScaleNormal="70" zoomScaleSheetLayoutView="74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E21" sqref="E21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95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ht="15.75">
      <c r="M1" s="147" t="s">
        <v>132</v>
      </c>
    </row>
    <row r="2" ht="15.75">
      <c r="M2" s="147" t="s">
        <v>37</v>
      </c>
    </row>
    <row r="3" ht="15.75">
      <c r="M3" s="147" t="s">
        <v>50</v>
      </c>
    </row>
    <row r="4" ht="15.75">
      <c r="M4" s="147"/>
    </row>
    <row r="5" ht="15.75">
      <c r="A5" s="14"/>
    </row>
    <row r="6" ht="18.75">
      <c r="M6" s="297" t="s">
        <v>38</v>
      </c>
    </row>
    <row r="7" ht="18.75">
      <c r="M7" s="297" t="s">
        <v>235</v>
      </c>
    </row>
    <row r="8" ht="18.75">
      <c r="M8" s="297"/>
    </row>
    <row r="9" ht="18.75">
      <c r="M9" s="297" t="s">
        <v>368</v>
      </c>
    </row>
    <row r="10" spans="1:13" ht="18.75">
      <c r="A10" s="14"/>
      <c r="M10" s="297" t="s">
        <v>369</v>
      </c>
    </row>
    <row r="11" spans="1:13" ht="18.75">
      <c r="A11" s="14"/>
      <c r="M11" s="297" t="s">
        <v>42</v>
      </c>
    </row>
    <row r="12" spans="1:13" ht="33" customHeight="1">
      <c r="A12" s="754" t="s">
        <v>153</v>
      </c>
      <c r="B12" s="735"/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</row>
    <row r="13" spans="1:13" ht="29.25" customHeight="1">
      <c r="A13" s="763" t="s">
        <v>370</v>
      </c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</row>
    <row r="14" spans="1:13" ht="15.75">
      <c r="A14" s="14"/>
      <c r="M14" s="3"/>
    </row>
    <row r="15" spans="1:13" ht="41.25" customHeight="1">
      <c r="A15" s="732" t="s">
        <v>251</v>
      </c>
      <c r="B15" s="732" t="s">
        <v>274</v>
      </c>
      <c r="C15" s="732" t="s">
        <v>105</v>
      </c>
      <c r="D15" s="732" t="s">
        <v>372</v>
      </c>
      <c r="E15" s="732"/>
      <c r="F15" s="732" t="s">
        <v>70</v>
      </c>
      <c r="G15" s="732" t="s">
        <v>159</v>
      </c>
      <c r="H15" s="732" t="s">
        <v>106</v>
      </c>
      <c r="I15" s="732" t="s">
        <v>355</v>
      </c>
      <c r="J15" s="732"/>
      <c r="K15" s="732"/>
      <c r="L15" s="732"/>
      <c r="M15" s="732" t="s">
        <v>253</v>
      </c>
    </row>
    <row r="16" spans="1:13" ht="41.25" customHeight="1">
      <c r="A16" s="732"/>
      <c r="B16" s="732"/>
      <c r="C16" s="732"/>
      <c r="D16" s="732"/>
      <c r="E16" s="732"/>
      <c r="F16" s="732"/>
      <c r="G16" s="732"/>
      <c r="H16" s="732"/>
      <c r="I16" s="732" t="s">
        <v>292</v>
      </c>
      <c r="J16" s="732" t="s">
        <v>349</v>
      </c>
      <c r="K16" s="732" t="s">
        <v>347</v>
      </c>
      <c r="L16" s="732"/>
      <c r="M16" s="732"/>
    </row>
    <row r="17" spans="1:13" ht="89.25" customHeight="1">
      <c r="A17" s="732"/>
      <c r="B17" s="732"/>
      <c r="C17" s="732"/>
      <c r="D17" s="13" t="s">
        <v>363</v>
      </c>
      <c r="E17" s="13" t="s">
        <v>364</v>
      </c>
      <c r="F17" s="732"/>
      <c r="G17" s="732"/>
      <c r="H17" s="732"/>
      <c r="I17" s="732"/>
      <c r="J17" s="732"/>
      <c r="K17" s="13" t="s">
        <v>346</v>
      </c>
      <c r="L17" s="13" t="s">
        <v>348</v>
      </c>
      <c r="M17" s="732"/>
    </row>
    <row r="18" spans="1:13" ht="15.75">
      <c r="A18" s="24"/>
      <c r="B18" s="24" t="s">
        <v>275</v>
      </c>
      <c r="C18" s="24"/>
      <c r="D18" s="24"/>
      <c r="E18" s="5"/>
      <c r="F18" s="5"/>
      <c r="G18" s="5"/>
      <c r="H18" s="5"/>
      <c r="I18" s="5"/>
      <c r="J18" s="5"/>
      <c r="K18" s="5"/>
      <c r="L18" s="5"/>
      <c r="M18" s="5"/>
    </row>
    <row r="19" spans="1:13" ht="31.5" customHeight="1">
      <c r="A19" s="24" t="s">
        <v>237</v>
      </c>
      <c r="B19" s="24" t="s">
        <v>354</v>
      </c>
      <c r="C19" s="5"/>
      <c r="D19" s="196"/>
      <c r="E19" s="145"/>
      <c r="F19" s="145"/>
      <c r="G19" s="5"/>
      <c r="H19" s="196"/>
      <c r="I19" s="196"/>
      <c r="J19" s="5"/>
      <c r="K19" s="5"/>
      <c r="L19" s="5"/>
      <c r="M19" s="298"/>
    </row>
    <row r="20" spans="1:13" ht="31.5">
      <c r="A20" s="299" t="s">
        <v>238</v>
      </c>
      <c r="B20" s="24" t="s">
        <v>351</v>
      </c>
      <c r="C20" s="24"/>
      <c r="D20" s="24"/>
      <c r="E20" s="24"/>
      <c r="F20" s="5"/>
      <c r="G20" s="5"/>
      <c r="H20" s="5"/>
      <c r="I20" s="5"/>
      <c r="J20" s="5"/>
      <c r="K20" s="5"/>
      <c r="L20" s="5"/>
      <c r="M20" s="764" t="s">
        <v>373</v>
      </c>
    </row>
    <row r="21" spans="1:13" ht="86.25" customHeight="1">
      <c r="A21" s="5">
        <v>1</v>
      </c>
      <c r="B21" s="4" t="s">
        <v>371</v>
      </c>
      <c r="C21" s="196">
        <v>118.48</v>
      </c>
      <c r="D21" s="196">
        <v>41.7517484696111</v>
      </c>
      <c r="E21" s="196">
        <v>0.6845220000000001</v>
      </c>
      <c r="F21" s="196">
        <f>E21</f>
        <v>0.6845220000000001</v>
      </c>
      <c r="G21" s="196">
        <v>0</v>
      </c>
      <c r="H21" s="196">
        <f>C21-E21</f>
        <v>117.795478</v>
      </c>
      <c r="I21" s="196">
        <f>D21-E21</f>
        <v>41.0672264696111</v>
      </c>
      <c r="J21" s="145">
        <f>I21/D21</f>
        <v>0.9836049500897375</v>
      </c>
      <c r="K21" s="5"/>
      <c r="L21" s="5"/>
      <c r="M21" s="764"/>
    </row>
    <row r="22" spans="1:13" ht="31.5">
      <c r="A22" s="24" t="s">
        <v>239</v>
      </c>
      <c r="B22" s="24" t="s">
        <v>35</v>
      </c>
      <c r="C22" s="24"/>
      <c r="D22" s="4"/>
      <c r="E22" s="4"/>
      <c r="F22" s="5"/>
      <c r="G22" s="5"/>
      <c r="H22" s="5"/>
      <c r="I22" s="5"/>
      <c r="J22" s="5"/>
      <c r="K22" s="5"/>
      <c r="L22" s="5"/>
      <c r="M22" s="5"/>
    </row>
    <row r="23" spans="1:13" ht="31.5">
      <c r="A23" s="24" t="s">
        <v>250</v>
      </c>
      <c r="B23" s="24" t="s">
        <v>352</v>
      </c>
      <c r="C23" s="24"/>
      <c r="D23" s="4"/>
      <c r="E23" s="4"/>
      <c r="F23" s="5"/>
      <c r="G23" s="5"/>
      <c r="H23" s="5"/>
      <c r="I23" s="5"/>
      <c r="J23" s="5"/>
      <c r="K23" s="5"/>
      <c r="L23" s="5"/>
      <c r="M23" s="5"/>
    </row>
    <row r="24" spans="1:13" ht="47.25">
      <c r="A24" s="24" t="s">
        <v>267</v>
      </c>
      <c r="B24" s="24" t="s">
        <v>353</v>
      </c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</row>
    <row r="25" spans="1:13" ht="15.75">
      <c r="A25" s="24" t="s">
        <v>240</v>
      </c>
      <c r="B25" s="24" t="s">
        <v>288</v>
      </c>
      <c r="C25" s="24"/>
      <c r="D25" s="24"/>
      <c r="E25" s="24"/>
      <c r="F25" s="5"/>
      <c r="G25" s="5"/>
      <c r="H25" s="5"/>
      <c r="I25" s="5"/>
      <c r="J25" s="5"/>
      <c r="K25" s="5"/>
      <c r="L25" s="5"/>
      <c r="M25" s="5"/>
    </row>
    <row r="26" spans="1:13" ht="31.5">
      <c r="A26" s="299" t="s">
        <v>241</v>
      </c>
      <c r="B26" s="24" t="s">
        <v>351</v>
      </c>
      <c r="C26" s="24"/>
      <c r="D26" s="24"/>
      <c r="E26" s="24"/>
      <c r="F26" s="5"/>
      <c r="G26" s="5"/>
      <c r="H26" s="5"/>
      <c r="I26" s="5"/>
      <c r="J26" s="5"/>
      <c r="K26" s="5"/>
      <c r="L26" s="5"/>
      <c r="M26" s="5"/>
    </row>
    <row r="27" spans="1:13" ht="15.75">
      <c r="A27" s="299" t="s">
        <v>242</v>
      </c>
      <c r="B27" s="96" t="s">
        <v>43</v>
      </c>
      <c r="C27" s="24"/>
      <c r="D27" s="24"/>
      <c r="E27" s="24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765" t="s">
        <v>329</v>
      </c>
      <c r="B28" s="765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</row>
    <row r="29" spans="1:13" ht="31.5">
      <c r="A29" s="24"/>
      <c r="B29" s="24" t="s">
        <v>350</v>
      </c>
      <c r="C29" s="24"/>
      <c r="D29" s="4"/>
      <c r="E29" s="4"/>
      <c r="F29" s="5"/>
      <c r="G29" s="5"/>
      <c r="H29" s="5"/>
      <c r="I29" s="5"/>
      <c r="J29" s="5"/>
      <c r="K29" s="5"/>
      <c r="L29" s="5"/>
      <c r="M29" s="5"/>
    </row>
    <row r="30" spans="1:13" ht="15.75">
      <c r="A30" s="5"/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>
      <c r="A31" s="50"/>
      <c r="B31" s="51" t="s">
        <v>45</v>
      </c>
      <c r="C31" s="33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5.75" customHeight="1">
      <c r="A32" s="50"/>
      <c r="B32" s="750" t="s">
        <v>46</v>
      </c>
      <c r="C32" s="750"/>
      <c r="D32" s="750"/>
      <c r="E32" s="750"/>
      <c r="F32" s="50"/>
      <c r="G32" s="50"/>
      <c r="H32" s="50"/>
      <c r="I32" s="50"/>
      <c r="J32" s="50"/>
      <c r="K32" s="50"/>
      <c r="L32" s="50"/>
      <c r="M32" s="50"/>
    </row>
    <row r="33" spans="1:13" ht="15.75">
      <c r="A33" s="26"/>
      <c r="B33" s="1" t="s">
        <v>47</v>
      </c>
      <c r="F33" s="26"/>
      <c r="G33" s="26"/>
      <c r="H33" s="26"/>
      <c r="I33" s="26"/>
      <c r="J33" s="26"/>
      <c r="K33" s="26"/>
      <c r="L33" s="26"/>
      <c r="M33" s="26"/>
    </row>
    <row r="34" spans="1:13" ht="15.75">
      <c r="A34" s="26"/>
      <c r="B34" s="731" t="s">
        <v>48</v>
      </c>
      <c r="C34" s="731"/>
      <c r="D34" s="731"/>
      <c r="E34" s="731"/>
      <c r="F34" s="26"/>
      <c r="G34" s="26"/>
      <c r="H34" s="26"/>
      <c r="I34" s="26"/>
      <c r="J34" s="26"/>
      <c r="K34" s="26"/>
      <c r="L34" s="26"/>
      <c r="M34" s="26"/>
    </row>
    <row r="35" spans="1:13" ht="15.75">
      <c r="A35" s="26"/>
      <c r="B35" s="11"/>
      <c r="C35" s="26"/>
      <c r="D35" s="26"/>
      <c r="E35" s="26"/>
      <c r="F35" s="762" t="s">
        <v>375</v>
      </c>
      <c r="G35" s="762"/>
      <c r="H35" s="762"/>
      <c r="I35" s="762"/>
      <c r="J35" s="762"/>
      <c r="K35" s="762"/>
      <c r="L35" s="762"/>
      <c r="M35" s="26"/>
    </row>
    <row r="36" spans="1:13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ht="15.75">
      <c r="A37" s="12"/>
    </row>
    <row r="38" spans="1:3" ht="15.75">
      <c r="A38" s="18"/>
      <c r="C38" s="19"/>
    </row>
    <row r="39" spans="4:13" ht="15.75">
      <c r="D39" s="22"/>
      <c r="F39" s="103"/>
      <c r="G39" s="103"/>
      <c r="H39" s="28"/>
      <c r="I39" s="28"/>
      <c r="J39" s="28"/>
      <c r="K39" s="28"/>
      <c r="L39" s="28"/>
      <c r="M39" s="28"/>
    </row>
    <row r="40" spans="1:4" ht="15.75">
      <c r="A40" s="15"/>
      <c r="D40" s="14"/>
    </row>
  </sheetData>
  <sheetProtection/>
  <mergeCells count="19">
    <mergeCell ref="K16:L16"/>
    <mergeCell ref="I16:I17"/>
    <mergeCell ref="C15:C17"/>
    <mergeCell ref="F15:F17"/>
    <mergeCell ref="G15:G17"/>
    <mergeCell ref="A15:A17"/>
    <mergeCell ref="H15:H17"/>
    <mergeCell ref="J16:J17"/>
    <mergeCell ref="B15:B17"/>
    <mergeCell ref="F35:L35"/>
    <mergeCell ref="A13:M13"/>
    <mergeCell ref="M20:M21"/>
    <mergeCell ref="A12:M12"/>
    <mergeCell ref="B34:E34"/>
    <mergeCell ref="B32:E32"/>
    <mergeCell ref="D15:E16"/>
    <mergeCell ref="A28:B28"/>
    <mergeCell ref="M15:M17"/>
    <mergeCell ref="I15:L15"/>
  </mergeCells>
  <printOptions/>
  <pageMargins left="0.1968503937007874" right="0.1968503937007874" top="0.55" bottom="0.38" header="0.5118110236220472" footer="0.32"/>
  <pageSetup fitToHeight="1" fitToWidth="1" horizontalDpi="600" verticalDpi="600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5"/>
  <sheetViews>
    <sheetView view="pageBreakPreview" zoomScale="75" zoomScaleSheetLayoutView="75" zoomScalePageLayoutView="0" workbookViewId="0" topLeftCell="A1">
      <selection activeCell="F12" sqref="F12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125" style="111" bestFit="1" customWidth="1"/>
    <col min="6" max="16384" width="9.00390625" style="111" customWidth="1"/>
  </cols>
  <sheetData>
    <row r="1" ht="15.75" outlineLevel="1">
      <c r="C1" s="378" t="s">
        <v>553</v>
      </c>
    </row>
    <row r="2" ht="15.75" outlineLevel="1">
      <c r="C2" s="378" t="s">
        <v>37</v>
      </c>
    </row>
    <row r="3" ht="15.75" outlineLevel="1">
      <c r="C3" s="379" t="s">
        <v>379</v>
      </c>
    </row>
    <row r="4" ht="15.75" outlineLevel="1">
      <c r="C4" s="380"/>
    </row>
    <row r="5" ht="15.75" outlineLevel="1">
      <c r="C5" s="3" t="s">
        <v>38</v>
      </c>
    </row>
    <row r="6" ht="15.75" outlineLevel="1">
      <c r="C6" s="3" t="s">
        <v>698</v>
      </c>
    </row>
    <row r="7" ht="15.75" outlineLevel="1">
      <c r="C7" s="3"/>
    </row>
    <row r="8" ht="15.75" outlineLevel="1">
      <c r="C8" s="3" t="s">
        <v>667</v>
      </c>
    </row>
    <row r="9" ht="15.75" outlineLevel="1">
      <c r="C9" s="3" t="s">
        <v>748</v>
      </c>
    </row>
    <row r="10" ht="15.75" outlineLevel="1">
      <c r="C10" s="3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31.5" customHeight="1">
      <c r="A13" s="876" t="s">
        <v>696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7" ht="15.75">
      <c r="A16" s="387" t="s">
        <v>237</v>
      </c>
      <c r="B16" s="877" t="s">
        <v>557</v>
      </c>
      <c r="C16" s="878"/>
      <c r="E16" s="708"/>
      <c r="F16" s="708"/>
      <c r="G16" s="708"/>
    </row>
    <row r="17" spans="1:7" ht="15.75">
      <c r="A17" s="388" t="s">
        <v>238</v>
      </c>
      <c r="B17" s="389" t="s">
        <v>516</v>
      </c>
      <c r="C17" s="390" t="s">
        <v>569</v>
      </c>
      <c r="E17" s="708"/>
      <c r="F17" s="708"/>
      <c r="G17" s="708"/>
    </row>
    <row r="18" spans="1:7" ht="31.5">
      <c r="A18" s="388" t="s">
        <v>239</v>
      </c>
      <c r="B18" s="389" t="s">
        <v>544</v>
      </c>
      <c r="C18" s="390" t="s">
        <v>562</v>
      </c>
      <c r="E18" s="708"/>
      <c r="F18" s="708"/>
      <c r="G18" s="708"/>
    </row>
    <row r="19" spans="1:7" ht="15.75">
      <c r="A19" s="388" t="s">
        <v>240</v>
      </c>
      <c r="B19" s="879" t="s">
        <v>558</v>
      </c>
      <c r="C19" s="880"/>
      <c r="E19" s="708"/>
      <c r="F19" s="708"/>
      <c r="G19" s="708"/>
    </row>
    <row r="20" spans="1:7" ht="15.75">
      <c r="A20" s="388" t="s">
        <v>238</v>
      </c>
      <c r="B20" s="389" t="s">
        <v>516</v>
      </c>
      <c r="C20" s="390" t="s">
        <v>569</v>
      </c>
      <c r="E20" s="708"/>
      <c r="F20" s="708"/>
      <c r="G20" s="708"/>
    </row>
    <row r="21" spans="1:7" ht="15.75">
      <c r="A21" s="388" t="s">
        <v>240</v>
      </c>
      <c r="B21" s="879" t="s">
        <v>558</v>
      </c>
      <c r="C21" s="880"/>
      <c r="E21" s="708"/>
      <c r="F21" s="708"/>
      <c r="G21" s="708"/>
    </row>
    <row r="22" spans="1:7" ht="15.75">
      <c r="A22" s="388" t="s">
        <v>242</v>
      </c>
      <c r="B22" s="391" t="s">
        <v>518</v>
      </c>
      <c r="C22" s="390" t="s">
        <v>562</v>
      </c>
      <c r="E22" s="708"/>
      <c r="F22" s="708"/>
      <c r="G22" s="708"/>
    </row>
    <row r="23" spans="1:7" ht="15.75">
      <c r="A23" s="388" t="s">
        <v>244</v>
      </c>
      <c r="B23" s="391" t="s">
        <v>520</v>
      </c>
      <c r="C23" s="390" t="s">
        <v>562</v>
      </c>
      <c r="E23" s="708"/>
      <c r="F23" s="708"/>
      <c r="G23" s="708"/>
    </row>
    <row r="24" spans="1:7" ht="15.75" hidden="1">
      <c r="A24" s="388" t="s">
        <v>334</v>
      </c>
      <c r="B24" s="389" t="s">
        <v>522</v>
      </c>
      <c r="C24" s="390"/>
      <c r="E24" s="708"/>
      <c r="F24" s="708"/>
      <c r="G24" s="708"/>
    </row>
    <row r="25" spans="1:7" ht="15.75">
      <c r="A25" s="388">
        <v>3</v>
      </c>
      <c r="B25" s="872" t="s">
        <v>559</v>
      </c>
      <c r="C25" s="873"/>
      <c r="E25" s="708"/>
      <c r="F25" s="708"/>
      <c r="G25" s="708"/>
    </row>
    <row r="26" spans="1:7" ht="31.5">
      <c r="A26" s="388" t="s">
        <v>365</v>
      </c>
      <c r="B26" s="389" t="s">
        <v>524</v>
      </c>
      <c r="C26" s="390" t="s">
        <v>569</v>
      </c>
      <c r="E26" s="708"/>
      <c r="F26" s="708"/>
      <c r="G26" s="708"/>
    </row>
    <row r="27" spans="1:7" ht="31.5" hidden="1">
      <c r="A27" s="388" t="s">
        <v>366</v>
      </c>
      <c r="B27" s="389" t="s">
        <v>526</v>
      </c>
      <c r="C27" s="390"/>
      <c r="E27" s="708"/>
      <c r="F27" s="708"/>
      <c r="G27" s="708"/>
    </row>
    <row r="28" spans="1:7" ht="15.75">
      <c r="A28" s="388" t="s">
        <v>367</v>
      </c>
      <c r="B28" s="389" t="s">
        <v>528</v>
      </c>
      <c r="C28" s="390" t="s">
        <v>569</v>
      </c>
      <c r="E28" s="708"/>
      <c r="F28" s="708"/>
      <c r="G28" s="708"/>
    </row>
    <row r="29" spans="1:7" ht="15.75">
      <c r="A29" s="388">
        <v>4</v>
      </c>
      <c r="B29" s="872" t="s">
        <v>561</v>
      </c>
      <c r="C29" s="873"/>
      <c r="E29" s="708"/>
      <c r="F29" s="708"/>
      <c r="G29" s="708"/>
    </row>
    <row r="30" spans="1:7" ht="15.75">
      <c r="A30" s="388" t="s">
        <v>245</v>
      </c>
      <c r="B30" s="389" t="s">
        <v>530</v>
      </c>
      <c r="C30" s="390" t="s">
        <v>562</v>
      </c>
      <c r="E30" s="708"/>
      <c r="F30" s="708"/>
      <c r="G30" s="708"/>
    </row>
    <row r="31" spans="1:7" ht="15" customHeight="1">
      <c r="A31" s="388" t="s">
        <v>305</v>
      </c>
      <c r="B31" s="389" t="s">
        <v>532</v>
      </c>
      <c r="C31" s="390" t="s">
        <v>562</v>
      </c>
      <c r="E31" s="708"/>
      <c r="F31" s="708"/>
      <c r="G31" s="708"/>
    </row>
    <row r="32" spans="1:7" ht="15" customHeight="1" hidden="1">
      <c r="A32" s="388" t="s">
        <v>563</v>
      </c>
      <c r="B32" s="389" t="s">
        <v>534</v>
      </c>
      <c r="C32" s="390"/>
      <c r="E32" s="708"/>
      <c r="F32" s="708"/>
      <c r="G32" s="708"/>
    </row>
    <row r="33" spans="1:7" ht="15.75">
      <c r="A33" s="388">
        <v>6</v>
      </c>
      <c r="B33" s="872" t="s">
        <v>564</v>
      </c>
      <c r="C33" s="873"/>
      <c r="E33" s="708"/>
      <c r="F33" s="708"/>
      <c r="G33" s="708"/>
    </row>
    <row r="34" spans="1:7" ht="31.5">
      <c r="A34" s="388" t="s">
        <v>565</v>
      </c>
      <c r="B34" s="389" t="s">
        <v>536</v>
      </c>
      <c r="C34" s="390" t="s">
        <v>562</v>
      </c>
      <c r="E34" s="708"/>
      <c r="F34" s="708"/>
      <c r="G34" s="708"/>
    </row>
    <row r="35" spans="1:7" ht="15.75">
      <c r="A35" s="388" t="s">
        <v>566</v>
      </c>
      <c r="B35" s="389" t="s">
        <v>538</v>
      </c>
      <c r="C35" s="390" t="s">
        <v>562</v>
      </c>
      <c r="E35" s="708"/>
      <c r="F35" s="708"/>
      <c r="G35" s="708"/>
    </row>
    <row r="36" spans="1:7" ht="46.5" customHeight="1" thickBot="1">
      <c r="A36" s="336" t="s">
        <v>567</v>
      </c>
      <c r="B36" s="392" t="s">
        <v>568</v>
      </c>
      <c r="C36" s="390" t="s">
        <v>569</v>
      </c>
      <c r="E36" s="708"/>
      <c r="F36" s="708"/>
      <c r="G36" s="708"/>
    </row>
    <row r="39" spans="1:3" ht="15.75">
      <c r="A39" s="874" t="s">
        <v>376</v>
      </c>
      <c r="B39" s="874"/>
      <c r="C39" s="874"/>
    </row>
    <row r="42" spans="1:3" ht="15.75">
      <c r="A42" s="569"/>
      <c r="B42" s="569"/>
      <c r="C42" s="569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  <row r="63" ht="15.75">
      <c r="C63" s="111"/>
    </row>
    <row r="64" ht="15.75">
      <c r="C64" s="111"/>
    </row>
    <row r="65" ht="15.75">
      <c r="C65" s="111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5"/>
  <sheetViews>
    <sheetView view="pageBreakPreview" zoomScale="75" zoomScaleSheetLayoutView="75" zoomScalePageLayoutView="0" workbookViewId="0" topLeftCell="A1">
      <selection activeCell="F10" sqref="F10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>
      <c r="C1" s="378" t="s">
        <v>553</v>
      </c>
    </row>
    <row r="2" ht="15.75">
      <c r="C2" s="378" t="s">
        <v>37</v>
      </c>
    </row>
    <row r="3" ht="15.75">
      <c r="C3" s="379" t="s">
        <v>379</v>
      </c>
    </row>
    <row r="4" ht="15.75" outlineLevel="1">
      <c r="C4" s="380"/>
    </row>
    <row r="5" ht="15.75" outlineLevel="1">
      <c r="C5" s="380" t="s">
        <v>38</v>
      </c>
    </row>
    <row r="6" ht="15.75" outlineLevel="1">
      <c r="C6" s="380" t="s">
        <v>698</v>
      </c>
    </row>
    <row r="7" ht="15.75" outlineLevel="1">
      <c r="C7" s="380"/>
    </row>
    <row r="8" ht="15.75" outlineLevel="1">
      <c r="C8" s="380" t="s">
        <v>667</v>
      </c>
    </row>
    <row r="9" ht="15.75" outlineLevel="1">
      <c r="C9" s="112" t="s">
        <v>748</v>
      </c>
    </row>
    <row r="10" ht="15.75" outlineLevel="1">
      <c r="C10" s="380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30" customHeight="1">
      <c r="A13" s="876" t="s">
        <v>693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7" ht="15.75">
      <c r="A16" s="387" t="s">
        <v>237</v>
      </c>
      <c r="B16" s="877" t="s">
        <v>557</v>
      </c>
      <c r="C16" s="878"/>
      <c r="E16" s="708"/>
      <c r="F16" s="708"/>
      <c r="G16" s="708"/>
    </row>
    <row r="17" spans="1:7" ht="15.75">
      <c r="A17" s="388" t="s">
        <v>238</v>
      </c>
      <c r="B17" s="389" t="s">
        <v>516</v>
      </c>
      <c r="C17" s="390" t="s">
        <v>560</v>
      </c>
      <c r="E17" s="708"/>
      <c r="F17" s="708"/>
      <c r="G17" s="708"/>
    </row>
    <row r="18" spans="1:7" ht="31.5">
      <c r="A18" s="388" t="s">
        <v>239</v>
      </c>
      <c r="B18" s="389" t="s">
        <v>544</v>
      </c>
      <c r="C18" s="390" t="s">
        <v>562</v>
      </c>
      <c r="E18" s="708"/>
      <c r="F18" s="708"/>
      <c r="G18" s="708"/>
    </row>
    <row r="19" spans="1:7" ht="15.75">
      <c r="A19" s="388" t="s">
        <v>240</v>
      </c>
      <c r="B19" s="879" t="s">
        <v>558</v>
      </c>
      <c r="C19" s="880"/>
      <c r="E19" s="708"/>
      <c r="F19" s="708"/>
      <c r="G19" s="708"/>
    </row>
    <row r="20" spans="1:7" ht="15.75">
      <c r="A20" s="388" t="s">
        <v>238</v>
      </c>
      <c r="B20" s="389" t="s">
        <v>516</v>
      </c>
      <c r="C20" s="390" t="s">
        <v>560</v>
      </c>
      <c r="E20" s="708"/>
      <c r="F20" s="708"/>
      <c r="G20" s="708"/>
    </row>
    <row r="21" spans="1:7" ht="15.75">
      <c r="A21" s="388" t="s">
        <v>240</v>
      </c>
      <c r="B21" s="879" t="s">
        <v>558</v>
      </c>
      <c r="C21" s="880"/>
      <c r="E21" s="708"/>
      <c r="F21" s="708"/>
      <c r="G21" s="708"/>
    </row>
    <row r="22" spans="1:7" ht="15.75">
      <c r="A22" s="388" t="s">
        <v>242</v>
      </c>
      <c r="B22" s="391" t="s">
        <v>518</v>
      </c>
      <c r="C22" s="390" t="s">
        <v>562</v>
      </c>
      <c r="E22" s="708"/>
      <c r="F22" s="708"/>
      <c r="G22" s="708"/>
    </row>
    <row r="23" spans="1:7" ht="15.75">
      <c r="A23" s="388" t="s">
        <v>244</v>
      </c>
      <c r="B23" s="391" t="s">
        <v>520</v>
      </c>
      <c r="C23" s="390" t="s">
        <v>562</v>
      </c>
      <c r="E23" s="708"/>
      <c r="F23" s="708"/>
      <c r="G23" s="708"/>
    </row>
    <row r="24" spans="1:7" ht="15.75">
      <c r="A24" s="388" t="s">
        <v>334</v>
      </c>
      <c r="B24" s="389" t="s">
        <v>522</v>
      </c>
      <c r="C24" s="390" t="s">
        <v>560</v>
      </c>
      <c r="E24" s="708"/>
      <c r="F24" s="708"/>
      <c r="G24" s="708"/>
    </row>
    <row r="25" spans="1:7" ht="15.75">
      <c r="A25" s="388">
        <v>3</v>
      </c>
      <c r="B25" s="872" t="s">
        <v>559</v>
      </c>
      <c r="C25" s="873"/>
      <c r="E25" s="708"/>
      <c r="F25" s="708"/>
      <c r="G25" s="708"/>
    </row>
    <row r="26" spans="1:7" ht="31.5">
      <c r="A26" s="388" t="s">
        <v>365</v>
      </c>
      <c r="B26" s="389" t="s">
        <v>524</v>
      </c>
      <c r="C26" s="390" t="s">
        <v>560</v>
      </c>
      <c r="E26" s="708"/>
      <c r="F26" s="708"/>
      <c r="G26" s="708"/>
    </row>
    <row r="27" spans="1:7" ht="31.5">
      <c r="A27" s="388" t="s">
        <v>366</v>
      </c>
      <c r="B27" s="389" t="s">
        <v>526</v>
      </c>
      <c r="C27" s="390" t="s">
        <v>560</v>
      </c>
      <c r="E27" s="708"/>
      <c r="F27" s="708"/>
      <c r="G27" s="708"/>
    </row>
    <row r="28" spans="1:7" ht="15.75">
      <c r="A28" s="388" t="s">
        <v>367</v>
      </c>
      <c r="B28" s="389" t="s">
        <v>528</v>
      </c>
      <c r="C28" s="390" t="s">
        <v>560</v>
      </c>
      <c r="E28" s="708"/>
      <c r="F28" s="708"/>
      <c r="G28" s="708"/>
    </row>
    <row r="29" spans="1:7" ht="15.75">
      <c r="A29" s="388">
        <v>4</v>
      </c>
      <c r="B29" s="872" t="s">
        <v>561</v>
      </c>
      <c r="C29" s="873"/>
      <c r="E29" s="708"/>
      <c r="F29" s="708"/>
      <c r="G29" s="708"/>
    </row>
    <row r="30" spans="1:7" ht="15.75">
      <c r="A30" s="388" t="s">
        <v>245</v>
      </c>
      <c r="B30" s="389" t="s">
        <v>530</v>
      </c>
      <c r="C30" s="390" t="s">
        <v>562</v>
      </c>
      <c r="E30" s="708"/>
      <c r="F30" s="708"/>
      <c r="G30" s="708"/>
    </row>
    <row r="31" spans="1:7" ht="15" customHeight="1">
      <c r="A31" s="388" t="s">
        <v>305</v>
      </c>
      <c r="B31" s="389" t="s">
        <v>532</v>
      </c>
      <c r="C31" s="390"/>
      <c r="E31" s="708"/>
      <c r="F31" s="708"/>
      <c r="G31" s="708"/>
    </row>
    <row r="32" spans="1:7" ht="15" customHeight="1">
      <c r="A32" s="388" t="s">
        <v>563</v>
      </c>
      <c r="B32" s="389" t="s">
        <v>534</v>
      </c>
      <c r="C32" s="390"/>
      <c r="E32" s="708"/>
      <c r="F32" s="708"/>
      <c r="G32" s="708"/>
    </row>
    <row r="33" spans="1:7" ht="15.75">
      <c r="A33" s="388">
        <v>6</v>
      </c>
      <c r="B33" s="872" t="s">
        <v>564</v>
      </c>
      <c r="C33" s="873"/>
      <c r="E33" s="708"/>
      <c r="F33" s="708"/>
      <c r="G33" s="708"/>
    </row>
    <row r="34" spans="1:7" ht="31.5">
      <c r="A34" s="388" t="s">
        <v>565</v>
      </c>
      <c r="B34" s="389" t="s">
        <v>536</v>
      </c>
      <c r="C34" s="390"/>
      <c r="E34" s="708"/>
      <c r="F34" s="708"/>
      <c r="G34" s="708"/>
    </row>
    <row r="35" spans="1:7" ht="15.75">
      <c r="A35" s="388" t="s">
        <v>566</v>
      </c>
      <c r="B35" s="389" t="s">
        <v>538</v>
      </c>
      <c r="C35" s="390"/>
      <c r="E35" s="708"/>
      <c r="F35" s="708"/>
      <c r="G35" s="708"/>
    </row>
    <row r="36" spans="1:7" ht="46.5" customHeight="1" thickBot="1">
      <c r="A36" s="336" t="s">
        <v>567</v>
      </c>
      <c r="B36" s="392" t="s">
        <v>568</v>
      </c>
      <c r="C36" s="393"/>
      <c r="E36" s="708"/>
      <c r="F36" s="708"/>
      <c r="G36" s="708"/>
    </row>
    <row r="39" spans="1:3" ht="15.75">
      <c r="A39" s="874" t="s">
        <v>376</v>
      </c>
      <c r="B39" s="874"/>
      <c r="C39" s="874"/>
    </row>
    <row r="42" spans="1:3" ht="15.75">
      <c r="A42" s="569"/>
      <c r="B42" s="569"/>
      <c r="C42" s="569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  <row r="63" spans="1:3" ht="15.75">
      <c r="A63" s="569"/>
      <c r="B63" s="569"/>
      <c r="C63" s="569"/>
    </row>
    <row r="64" spans="1:3" ht="15.75">
      <c r="A64" s="569"/>
      <c r="B64" s="569"/>
      <c r="C64" s="569"/>
    </row>
    <row r="65" spans="1:3" ht="15.75">
      <c r="A65" s="569"/>
      <c r="B65" s="569"/>
      <c r="C65" s="569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3"/>
  <sheetViews>
    <sheetView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>
      <c r="C1" s="378" t="s">
        <v>553</v>
      </c>
    </row>
    <row r="2" ht="15.75">
      <c r="C2" s="378" t="s">
        <v>37</v>
      </c>
    </row>
    <row r="3" ht="15.75">
      <c r="C3" s="379" t="s">
        <v>379</v>
      </c>
    </row>
    <row r="4" ht="15.75" outlineLevel="1">
      <c r="C4" s="380"/>
    </row>
    <row r="5" ht="15.75" outlineLevel="1">
      <c r="C5" s="380" t="s">
        <v>38</v>
      </c>
    </row>
    <row r="6" ht="15.75" outlineLevel="1">
      <c r="C6" s="380" t="s">
        <v>698</v>
      </c>
    </row>
    <row r="7" ht="15.75" outlineLevel="1">
      <c r="C7" s="380"/>
    </row>
    <row r="8" ht="15.75" outlineLevel="1">
      <c r="C8" s="380" t="s">
        <v>667</v>
      </c>
    </row>
    <row r="9" ht="15.75" outlineLevel="1">
      <c r="C9" s="112" t="s">
        <v>748</v>
      </c>
    </row>
    <row r="10" ht="15.75" outlineLevel="1">
      <c r="C10" s="380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30" customHeight="1">
      <c r="A13" s="876" t="s">
        <v>697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7" ht="15.75">
      <c r="A16" s="387" t="s">
        <v>237</v>
      </c>
      <c r="B16" s="877" t="s">
        <v>557</v>
      </c>
      <c r="C16" s="878"/>
      <c r="E16" s="708"/>
      <c r="F16" s="708"/>
      <c r="G16" s="708"/>
    </row>
    <row r="17" spans="1:7" ht="15.75">
      <c r="A17" s="388" t="s">
        <v>238</v>
      </c>
      <c r="B17" s="389" t="s">
        <v>516</v>
      </c>
      <c r="C17" s="390" t="s">
        <v>560</v>
      </c>
      <c r="E17" s="708"/>
      <c r="F17" s="708"/>
      <c r="G17" s="708"/>
    </row>
    <row r="18" spans="1:7" ht="31.5">
      <c r="A18" s="388" t="s">
        <v>239</v>
      </c>
      <c r="B18" s="389" t="s">
        <v>544</v>
      </c>
      <c r="C18" s="390" t="s">
        <v>562</v>
      </c>
      <c r="E18" s="708"/>
      <c r="F18" s="708"/>
      <c r="G18" s="708"/>
    </row>
    <row r="19" spans="1:7" ht="15.75">
      <c r="A19" s="388" t="s">
        <v>240</v>
      </c>
      <c r="B19" s="879" t="s">
        <v>558</v>
      </c>
      <c r="C19" s="880"/>
      <c r="E19" s="708"/>
      <c r="F19" s="708"/>
      <c r="G19" s="708"/>
    </row>
    <row r="20" spans="1:7" ht="15.75">
      <c r="A20" s="388" t="s">
        <v>238</v>
      </c>
      <c r="B20" s="389" t="s">
        <v>516</v>
      </c>
      <c r="C20" s="390" t="s">
        <v>560</v>
      </c>
      <c r="E20" s="708"/>
      <c r="F20" s="708"/>
      <c r="G20" s="708"/>
    </row>
    <row r="21" spans="1:7" ht="15.75">
      <c r="A21" s="388" t="s">
        <v>240</v>
      </c>
      <c r="B21" s="879" t="s">
        <v>558</v>
      </c>
      <c r="C21" s="880"/>
      <c r="E21" s="708"/>
      <c r="F21" s="708"/>
      <c r="G21" s="708"/>
    </row>
    <row r="22" spans="1:7" ht="15.75">
      <c r="A22" s="388" t="s">
        <v>242</v>
      </c>
      <c r="B22" s="391" t="s">
        <v>518</v>
      </c>
      <c r="C22" s="390" t="s">
        <v>562</v>
      </c>
      <c r="E22" s="708"/>
      <c r="F22" s="708"/>
      <c r="G22" s="708"/>
    </row>
    <row r="23" spans="1:7" ht="15.75">
      <c r="A23" s="388" t="s">
        <v>244</v>
      </c>
      <c r="B23" s="391" t="s">
        <v>520</v>
      </c>
      <c r="C23" s="390" t="s">
        <v>562</v>
      </c>
      <c r="E23" s="708"/>
      <c r="F23" s="708"/>
      <c r="G23" s="708"/>
    </row>
    <row r="24" spans="1:7" ht="15.75" hidden="1">
      <c r="A24" s="388" t="s">
        <v>334</v>
      </c>
      <c r="B24" s="389" t="s">
        <v>522</v>
      </c>
      <c r="C24" s="390"/>
      <c r="E24" s="708"/>
      <c r="F24" s="708"/>
      <c r="G24" s="708"/>
    </row>
    <row r="25" spans="1:7" ht="15.75">
      <c r="A25" s="388">
        <v>3</v>
      </c>
      <c r="B25" s="872" t="s">
        <v>559</v>
      </c>
      <c r="C25" s="873"/>
      <c r="E25" s="708"/>
      <c r="F25" s="708"/>
      <c r="G25" s="708"/>
    </row>
    <row r="26" spans="1:7" ht="31.5">
      <c r="A26" s="388" t="s">
        <v>365</v>
      </c>
      <c r="B26" s="389" t="s">
        <v>524</v>
      </c>
      <c r="C26" s="390" t="s">
        <v>560</v>
      </c>
      <c r="E26" s="708"/>
      <c r="F26" s="708"/>
      <c r="G26" s="708"/>
    </row>
    <row r="27" spans="1:7" ht="31.5">
      <c r="A27" s="388" t="s">
        <v>366</v>
      </c>
      <c r="B27" s="389" t="s">
        <v>526</v>
      </c>
      <c r="C27" s="390" t="s">
        <v>560</v>
      </c>
      <c r="E27" s="708"/>
      <c r="F27" s="708"/>
      <c r="G27" s="708"/>
    </row>
    <row r="28" spans="1:7" ht="15.75">
      <c r="A28" s="388" t="s">
        <v>367</v>
      </c>
      <c r="B28" s="389" t="s">
        <v>528</v>
      </c>
      <c r="C28" s="390" t="s">
        <v>560</v>
      </c>
      <c r="E28" s="708"/>
      <c r="F28" s="708"/>
      <c r="G28" s="708"/>
    </row>
    <row r="29" spans="1:7" ht="15.75">
      <c r="A29" s="388">
        <v>4</v>
      </c>
      <c r="B29" s="872" t="s">
        <v>561</v>
      </c>
      <c r="C29" s="873"/>
      <c r="E29" s="708"/>
      <c r="F29" s="708"/>
      <c r="G29" s="708"/>
    </row>
    <row r="30" spans="1:7" ht="15.75">
      <c r="A30" s="388" t="s">
        <v>245</v>
      </c>
      <c r="B30" s="389" t="s">
        <v>530</v>
      </c>
      <c r="C30" s="390" t="s">
        <v>562</v>
      </c>
      <c r="E30" s="708"/>
      <c r="F30" s="708"/>
      <c r="G30" s="708"/>
    </row>
    <row r="31" spans="1:7" ht="15" customHeight="1">
      <c r="A31" s="388" t="s">
        <v>305</v>
      </c>
      <c r="B31" s="389" t="s">
        <v>532</v>
      </c>
      <c r="C31" s="390" t="s">
        <v>562</v>
      </c>
      <c r="E31" s="708"/>
      <c r="F31" s="708"/>
      <c r="G31" s="708"/>
    </row>
    <row r="32" spans="1:7" ht="15" customHeight="1">
      <c r="A32" s="388" t="s">
        <v>563</v>
      </c>
      <c r="B32" s="389" t="s">
        <v>534</v>
      </c>
      <c r="C32" s="390"/>
      <c r="E32" s="708"/>
      <c r="F32" s="708"/>
      <c r="G32" s="708"/>
    </row>
    <row r="33" spans="1:7" ht="15.75">
      <c r="A33" s="388">
        <v>6</v>
      </c>
      <c r="B33" s="872" t="s">
        <v>564</v>
      </c>
      <c r="C33" s="873"/>
      <c r="E33" s="708"/>
      <c r="F33" s="708"/>
      <c r="G33" s="708"/>
    </row>
    <row r="34" spans="1:7" ht="31.5">
      <c r="A34" s="388" t="s">
        <v>565</v>
      </c>
      <c r="B34" s="389" t="s">
        <v>536</v>
      </c>
      <c r="C34" s="390"/>
      <c r="E34" s="708"/>
      <c r="F34" s="708"/>
      <c r="G34" s="708"/>
    </row>
    <row r="35" spans="1:7" ht="15.75">
      <c r="A35" s="388" t="s">
        <v>566</v>
      </c>
      <c r="B35" s="389" t="s">
        <v>538</v>
      </c>
      <c r="C35" s="390"/>
      <c r="E35" s="708"/>
      <c r="F35" s="708"/>
      <c r="G35" s="708"/>
    </row>
    <row r="36" spans="1:7" ht="46.5" customHeight="1" thickBot="1">
      <c r="A36" s="336" t="s">
        <v>567</v>
      </c>
      <c r="B36" s="392" t="s">
        <v>568</v>
      </c>
      <c r="C36" s="393"/>
      <c r="E36" s="708"/>
      <c r="F36" s="708"/>
      <c r="G36" s="708"/>
    </row>
    <row r="37" spans="5:7" ht="15.75">
      <c r="E37" s="569"/>
      <c r="F37" s="569"/>
      <c r="G37" s="569"/>
    </row>
    <row r="39" spans="1:3" ht="15.75">
      <c r="A39" s="874" t="s">
        <v>376</v>
      </c>
      <c r="B39" s="874"/>
      <c r="C39" s="874"/>
    </row>
    <row r="41" spans="1:3" ht="15.75">
      <c r="A41" s="569"/>
      <c r="B41" s="569"/>
      <c r="C41" s="569"/>
    </row>
    <row r="42" spans="1:3" ht="15.75">
      <c r="A42" s="569"/>
      <c r="B42" s="569"/>
      <c r="C42" s="569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  <row r="63" spans="1:3" ht="15.75">
      <c r="A63" s="569"/>
      <c r="B63" s="569"/>
      <c r="C63" s="569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2"/>
  <sheetViews>
    <sheetView view="pageBreakPreview" zoomScale="75" zoomScaleSheetLayoutView="75" zoomScalePageLayoutView="0" workbookViewId="0" topLeftCell="A1">
      <selection activeCell="J53" sqref="J53"/>
    </sheetView>
  </sheetViews>
  <sheetFormatPr defaultColWidth="9.00390625" defaultRowHeight="15.75" outlineLevelRow="1"/>
  <cols>
    <col min="1" max="1" width="14.125" style="111" customWidth="1"/>
    <col min="2" max="2" width="57.375" style="111" customWidth="1"/>
    <col min="3" max="3" width="16.375" style="383" customWidth="1"/>
    <col min="4" max="4" width="9.00390625" style="111" customWidth="1"/>
    <col min="5" max="5" width="9.75390625" style="111" bestFit="1" customWidth="1"/>
    <col min="6" max="16384" width="9.00390625" style="111" customWidth="1"/>
  </cols>
  <sheetData>
    <row r="1" ht="15.75" outlineLevel="1">
      <c r="C1" s="378" t="s">
        <v>553</v>
      </c>
    </row>
    <row r="2" ht="15.75" outlineLevel="1">
      <c r="C2" s="378" t="s">
        <v>37</v>
      </c>
    </row>
    <row r="3" ht="15.75" outlineLevel="1">
      <c r="C3" s="379" t="s">
        <v>379</v>
      </c>
    </row>
    <row r="4" ht="15.75" outlineLevel="1">
      <c r="C4" s="380"/>
    </row>
    <row r="5" ht="15.75" outlineLevel="1">
      <c r="C5" s="380" t="s">
        <v>38</v>
      </c>
    </row>
    <row r="6" ht="15.75" outlineLevel="1">
      <c r="C6" s="380" t="s">
        <v>698</v>
      </c>
    </row>
    <row r="7" ht="15.75" outlineLevel="1">
      <c r="C7" s="380"/>
    </row>
    <row r="8" ht="15.75" outlineLevel="1">
      <c r="C8" s="380" t="s">
        <v>667</v>
      </c>
    </row>
    <row r="9" ht="15.75" outlineLevel="1">
      <c r="C9" s="112" t="s">
        <v>748</v>
      </c>
    </row>
    <row r="10" ht="15.75" outlineLevel="1">
      <c r="C10" s="380" t="s">
        <v>42</v>
      </c>
    </row>
    <row r="11" ht="15.75">
      <c r="C11" s="381"/>
    </row>
    <row r="12" spans="1:16" ht="42.75" customHeight="1">
      <c r="A12" s="875" t="s">
        <v>729</v>
      </c>
      <c r="B12" s="875"/>
      <c r="C12" s="875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3" ht="30.75" customHeight="1">
      <c r="A13" s="876" t="s">
        <v>695</v>
      </c>
      <c r="B13" s="876"/>
      <c r="C13" s="876"/>
    </row>
    <row r="14" ht="16.5" thickBot="1"/>
    <row r="15" spans="1:3" ht="21.75" customHeight="1" thickBot="1">
      <c r="A15" s="384" t="s">
        <v>554</v>
      </c>
      <c r="B15" s="385" t="s">
        <v>555</v>
      </c>
      <c r="C15" s="386" t="s">
        <v>556</v>
      </c>
    </row>
    <row r="16" spans="1:3" ht="15.75" hidden="1">
      <c r="A16" s="387" t="s">
        <v>237</v>
      </c>
      <c r="B16" s="877" t="s">
        <v>557</v>
      </c>
      <c r="C16" s="878"/>
    </row>
    <row r="17" spans="1:3" ht="15.75" hidden="1">
      <c r="A17" s="388" t="s">
        <v>238</v>
      </c>
      <c r="B17" s="389" t="s">
        <v>516</v>
      </c>
      <c r="C17" s="390"/>
    </row>
    <row r="18" spans="1:3" ht="31.5" hidden="1">
      <c r="A18" s="388" t="s">
        <v>239</v>
      </c>
      <c r="B18" s="389" t="s">
        <v>544</v>
      </c>
      <c r="C18" s="390"/>
    </row>
    <row r="19" spans="1:3" ht="15.75" hidden="1">
      <c r="A19" s="388" t="s">
        <v>240</v>
      </c>
      <c r="B19" s="879" t="s">
        <v>558</v>
      </c>
      <c r="C19" s="880"/>
    </row>
    <row r="20" spans="1:3" ht="15.75" hidden="1">
      <c r="A20" s="388" t="s">
        <v>238</v>
      </c>
      <c r="B20" s="389" t="s">
        <v>516</v>
      </c>
      <c r="C20" s="390"/>
    </row>
    <row r="21" spans="1:3" ht="15.75" hidden="1">
      <c r="A21" s="388" t="s">
        <v>240</v>
      </c>
      <c r="B21" s="879" t="s">
        <v>558</v>
      </c>
      <c r="C21" s="880"/>
    </row>
    <row r="22" spans="1:3" ht="15.75" hidden="1">
      <c r="A22" s="388" t="s">
        <v>242</v>
      </c>
      <c r="B22" s="391" t="s">
        <v>518</v>
      </c>
      <c r="C22" s="390"/>
    </row>
    <row r="23" spans="1:3" ht="15.75" hidden="1">
      <c r="A23" s="388" t="s">
        <v>244</v>
      </c>
      <c r="B23" s="391" t="s">
        <v>520</v>
      </c>
      <c r="C23" s="390"/>
    </row>
    <row r="24" spans="1:3" ht="15.75" hidden="1">
      <c r="A24" s="388" t="s">
        <v>334</v>
      </c>
      <c r="B24" s="389" t="s">
        <v>522</v>
      </c>
      <c r="C24" s="390"/>
    </row>
    <row r="25" spans="1:3" ht="15.75" hidden="1">
      <c r="A25" s="388">
        <v>3</v>
      </c>
      <c r="B25" s="872" t="s">
        <v>559</v>
      </c>
      <c r="C25" s="873"/>
    </row>
    <row r="26" spans="1:3" ht="31.5" hidden="1">
      <c r="A26" s="388" t="s">
        <v>365</v>
      </c>
      <c r="B26" s="389" t="s">
        <v>524</v>
      </c>
      <c r="C26" s="390"/>
    </row>
    <row r="27" spans="1:3" ht="31.5" hidden="1">
      <c r="A27" s="388" t="s">
        <v>366</v>
      </c>
      <c r="B27" s="389" t="s">
        <v>526</v>
      </c>
      <c r="C27" s="390"/>
    </row>
    <row r="28" spans="1:7" ht="15.75">
      <c r="A28" s="388" t="s">
        <v>367</v>
      </c>
      <c r="B28" s="389" t="s">
        <v>528</v>
      </c>
      <c r="C28" s="390" t="s">
        <v>560</v>
      </c>
      <c r="E28" s="708"/>
      <c r="F28" s="708"/>
      <c r="G28" s="708"/>
    </row>
    <row r="29" spans="1:7" ht="15.75">
      <c r="A29" s="388">
        <v>4</v>
      </c>
      <c r="B29" s="872" t="s">
        <v>561</v>
      </c>
      <c r="C29" s="873"/>
      <c r="E29" s="708"/>
      <c r="F29" s="708"/>
      <c r="G29" s="708"/>
    </row>
    <row r="30" spans="1:7" ht="15.75">
      <c r="A30" s="388" t="s">
        <v>245</v>
      </c>
      <c r="B30" s="389" t="s">
        <v>530</v>
      </c>
      <c r="C30" s="390" t="s">
        <v>562</v>
      </c>
      <c r="E30" s="708"/>
      <c r="F30" s="708"/>
      <c r="G30" s="708"/>
    </row>
    <row r="31" spans="1:7" ht="15" customHeight="1">
      <c r="A31" s="388" t="s">
        <v>305</v>
      </c>
      <c r="B31" s="389" t="s">
        <v>532</v>
      </c>
      <c r="C31" s="390"/>
      <c r="E31" s="708"/>
      <c r="F31" s="708"/>
      <c r="G31" s="708"/>
    </row>
    <row r="32" spans="1:7" ht="15" customHeight="1">
      <c r="A32" s="388" t="s">
        <v>563</v>
      </c>
      <c r="B32" s="389" t="s">
        <v>534</v>
      </c>
      <c r="C32" s="390"/>
      <c r="E32" s="708"/>
      <c r="F32" s="708"/>
      <c r="G32" s="708"/>
    </row>
    <row r="33" spans="1:7" ht="15.75">
      <c r="A33" s="388">
        <v>6</v>
      </c>
      <c r="B33" s="872" t="s">
        <v>564</v>
      </c>
      <c r="C33" s="873"/>
      <c r="E33" s="708"/>
      <c r="F33" s="708"/>
      <c r="G33" s="708"/>
    </row>
    <row r="34" spans="1:7" ht="31.5">
      <c r="A34" s="388" t="s">
        <v>565</v>
      </c>
      <c r="B34" s="389" t="s">
        <v>536</v>
      </c>
      <c r="C34" s="390"/>
      <c r="E34" s="708"/>
      <c r="F34" s="708"/>
      <c r="G34" s="708"/>
    </row>
    <row r="35" spans="1:7" ht="15.75">
      <c r="A35" s="388" t="s">
        <v>566</v>
      </c>
      <c r="B35" s="389" t="s">
        <v>538</v>
      </c>
      <c r="C35" s="390"/>
      <c r="E35" s="708"/>
      <c r="F35" s="708"/>
      <c r="G35" s="708"/>
    </row>
    <row r="36" spans="1:7" ht="46.5" customHeight="1" thickBot="1">
      <c r="A36" s="336" t="s">
        <v>567</v>
      </c>
      <c r="B36" s="392" t="s">
        <v>568</v>
      </c>
      <c r="C36" s="393"/>
      <c r="E36" s="708"/>
      <c r="F36" s="708"/>
      <c r="G36" s="708"/>
    </row>
    <row r="39" spans="1:3" ht="15.75">
      <c r="A39" s="874" t="s">
        <v>376</v>
      </c>
      <c r="B39" s="874"/>
      <c r="C39" s="874"/>
    </row>
    <row r="41" spans="1:3" ht="15.75">
      <c r="A41" s="569"/>
      <c r="B41" s="569"/>
      <c r="C41" s="569"/>
    </row>
    <row r="42" spans="1:3" ht="15.75">
      <c r="A42" s="569"/>
      <c r="B42" s="569"/>
      <c r="C42" s="569"/>
    </row>
    <row r="43" spans="1:3" ht="15.75">
      <c r="A43" s="569"/>
      <c r="B43" s="569"/>
      <c r="C43" s="569"/>
    </row>
    <row r="44" spans="1:3" ht="15.75">
      <c r="A44" s="569"/>
      <c r="B44" s="569"/>
      <c r="C44" s="569"/>
    </row>
    <row r="45" spans="1:3" ht="15.75">
      <c r="A45" s="569"/>
      <c r="B45" s="569"/>
      <c r="C45" s="569"/>
    </row>
    <row r="46" spans="1:3" ht="15.75">
      <c r="A46" s="569"/>
      <c r="B46" s="569"/>
      <c r="C46" s="569"/>
    </row>
    <row r="47" spans="1:3" ht="15.75">
      <c r="A47" s="569"/>
      <c r="B47" s="569"/>
      <c r="C47" s="569"/>
    </row>
    <row r="48" spans="1:3" ht="15.75">
      <c r="A48" s="569"/>
      <c r="B48" s="569"/>
      <c r="C48" s="569"/>
    </row>
    <row r="49" spans="1:3" ht="15.75">
      <c r="A49" s="569"/>
      <c r="B49" s="569"/>
      <c r="C49" s="569"/>
    </row>
    <row r="50" spans="1:3" ht="15.75">
      <c r="A50" s="569"/>
      <c r="B50" s="569"/>
      <c r="C50" s="569"/>
    </row>
    <row r="51" spans="1:3" ht="15.75">
      <c r="A51" s="569"/>
      <c r="B51" s="569"/>
      <c r="C51" s="569"/>
    </row>
    <row r="52" spans="1:3" ht="15.75">
      <c r="A52" s="569"/>
      <c r="B52" s="569"/>
      <c r="C52" s="569"/>
    </row>
    <row r="53" spans="1:3" ht="15.75">
      <c r="A53" s="569"/>
      <c r="B53" s="569"/>
      <c r="C53" s="569"/>
    </row>
    <row r="54" spans="1:3" ht="15.75">
      <c r="A54" s="569"/>
      <c r="B54" s="569"/>
      <c r="C54" s="569"/>
    </row>
    <row r="55" spans="1:3" ht="15.75">
      <c r="A55" s="569"/>
      <c r="B55" s="569"/>
      <c r="C55" s="569"/>
    </row>
    <row r="56" spans="1:3" ht="15.75">
      <c r="A56" s="569"/>
      <c r="B56" s="569"/>
      <c r="C56" s="569"/>
    </row>
    <row r="57" spans="1:3" ht="15.75">
      <c r="A57" s="569"/>
      <c r="B57" s="569"/>
      <c r="C57" s="569"/>
    </row>
    <row r="58" spans="1:3" ht="15.75">
      <c r="A58" s="569"/>
      <c r="B58" s="569"/>
      <c r="C58" s="569"/>
    </row>
    <row r="59" spans="1:3" ht="15.75">
      <c r="A59" s="569"/>
      <c r="B59" s="569"/>
      <c r="C59" s="569"/>
    </row>
    <row r="60" spans="1:3" ht="15.75">
      <c r="A60" s="569"/>
      <c r="B60" s="569"/>
      <c r="C60" s="569"/>
    </row>
    <row r="61" spans="1:3" ht="15.75">
      <c r="A61" s="569"/>
      <c r="B61" s="569"/>
      <c r="C61" s="569"/>
    </row>
    <row r="62" spans="1:3" ht="15.75">
      <c r="A62" s="569"/>
      <c r="B62" s="569"/>
      <c r="C62" s="569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L58"/>
  <sheetViews>
    <sheetView view="pageBreakPreview" zoomScale="75" zoomScaleNormal="85" zoomScaleSheetLayoutView="75" zoomScalePageLayoutView="0" workbookViewId="0" topLeftCell="A1">
      <selection activeCell="G12" sqref="G12"/>
    </sheetView>
  </sheetViews>
  <sheetFormatPr defaultColWidth="9.00390625" defaultRowHeight="15.75" outlineLevelRow="1"/>
  <cols>
    <col min="1" max="1" width="54.125" style="111" bestFit="1" customWidth="1"/>
    <col min="2" max="2" width="25.50390625" style="111" customWidth="1"/>
    <col min="3" max="3" width="21.625" style="111" customWidth="1"/>
    <col min="4" max="8" width="9.00390625" style="111" customWidth="1"/>
    <col min="9" max="9" width="25.75390625" style="111" customWidth="1"/>
    <col min="10" max="14" width="9.00390625" style="111" customWidth="1"/>
    <col min="15" max="16384" width="9.00390625" style="111" customWidth="1"/>
  </cols>
  <sheetData>
    <row r="1" ht="15.75" outlineLevel="1">
      <c r="C1" s="199" t="s">
        <v>55</v>
      </c>
    </row>
    <row r="2" ht="15.75" outlineLevel="1">
      <c r="C2" s="199" t="s">
        <v>37</v>
      </c>
    </row>
    <row r="3" ht="15.75" outlineLevel="1">
      <c r="C3" s="303" t="s">
        <v>379</v>
      </c>
    </row>
    <row r="4" ht="15.75" outlineLevel="1">
      <c r="C4" s="112"/>
    </row>
    <row r="5" ht="15.75" outlineLevel="1">
      <c r="C5" s="3" t="s">
        <v>38</v>
      </c>
    </row>
    <row r="6" ht="15.75" outlineLevel="1">
      <c r="C6" s="3" t="s">
        <v>698</v>
      </c>
    </row>
    <row r="7" ht="15.75" outlineLevel="1">
      <c r="C7" s="3"/>
    </row>
    <row r="8" ht="15.75" outlineLevel="1">
      <c r="C8" s="3" t="s">
        <v>667</v>
      </c>
    </row>
    <row r="9" ht="15.75" outlineLevel="1">
      <c r="C9" s="3" t="s">
        <v>748</v>
      </c>
    </row>
    <row r="10" ht="15.75" outlineLevel="1">
      <c r="C10" s="3" t="s">
        <v>42</v>
      </c>
    </row>
    <row r="11" ht="15.75">
      <c r="C11" s="3"/>
    </row>
    <row r="12" spans="1:246" ht="34.5" customHeight="1">
      <c r="A12" s="754" t="s">
        <v>158</v>
      </c>
      <c r="B12" s="735"/>
      <c r="C12" s="735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</row>
    <row r="13" spans="1:246" ht="17.25">
      <c r="A13" s="1"/>
      <c r="B13" s="1"/>
      <c r="C13" s="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</row>
    <row r="14" spans="1:3" ht="15.75">
      <c r="A14" s="814" t="s">
        <v>730</v>
      </c>
      <c r="B14" s="814"/>
      <c r="C14" s="814"/>
    </row>
    <row r="15" spans="2:3" ht="23.25" customHeight="1">
      <c r="B15" s="114"/>
      <c r="C15" s="3" t="s">
        <v>320</v>
      </c>
    </row>
    <row r="16" spans="1:3" ht="15.75">
      <c r="A16" s="115" t="s">
        <v>74</v>
      </c>
      <c r="B16" s="116"/>
      <c r="C16" s="117"/>
    </row>
    <row r="17" spans="1:3" ht="47.25">
      <c r="A17" s="118" t="s">
        <v>75</v>
      </c>
      <c r="B17" s="119" t="s">
        <v>76</v>
      </c>
      <c r="C17" s="120" t="s">
        <v>629</v>
      </c>
    </row>
    <row r="18" spans="1:3" ht="15.75">
      <c r="A18" s="301">
        <v>1</v>
      </c>
      <c r="B18" s="301">
        <v>2</v>
      </c>
      <c r="C18" s="302">
        <v>3</v>
      </c>
    </row>
    <row r="19" spans="1:6" ht="15.75">
      <c r="A19" s="121" t="s">
        <v>77</v>
      </c>
      <c r="B19" s="308" t="s">
        <v>744</v>
      </c>
      <c r="C19" s="229">
        <f>J23</f>
        <v>825.3134656599998</v>
      </c>
      <c r="E19" s="606">
        <f>128.845103+(586.990271+3.10481248)</f>
        <v>718.94018648</v>
      </c>
      <c r="F19" s="606" t="s">
        <v>710</v>
      </c>
    </row>
    <row r="20" spans="1:9" ht="17.25" customHeight="1">
      <c r="A20" s="121" t="s">
        <v>78</v>
      </c>
      <c r="B20" s="730" t="s">
        <v>747</v>
      </c>
      <c r="C20" s="308">
        <f>J26</f>
        <v>-22.503923960652287</v>
      </c>
      <c r="E20" s="606">
        <f>70.796696+(298.641334+3.10481248)</f>
        <v>372.54284248</v>
      </c>
      <c r="F20" s="606" t="s">
        <v>711</v>
      </c>
      <c r="I20" s="111" t="s">
        <v>660</v>
      </c>
    </row>
    <row r="21" spans="1:10" ht="15.75">
      <c r="A21" s="121" t="s">
        <v>79</v>
      </c>
      <c r="B21" s="308"/>
      <c r="C21" s="307"/>
      <c r="I21" s="111" t="s">
        <v>661</v>
      </c>
      <c r="J21" s="318">
        <v>847.8173896206521</v>
      </c>
    </row>
    <row r="22" spans="1:3" ht="15.75">
      <c r="A22" s="122" t="s">
        <v>80</v>
      </c>
      <c r="B22" s="308"/>
      <c r="C22" s="307"/>
    </row>
    <row r="23" spans="1:10" ht="31.5">
      <c r="A23" s="122" t="s">
        <v>377</v>
      </c>
      <c r="B23" s="308"/>
      <c r="C23" s="307"/>
      <c r="I23" s="111" t="s">
        <v>662</v>
      </c>
      <c r="J23" s="111">
        <v>825.3134656599998</v>
      </c>
    </row>
    <row r="24" spans="1:3" ht="15.75">
      <c r="A24" s="121" t="s">
        <v>330</v>
      </c>
      <c r="B24" s="308"/>
      <c r="C24" s="307"/>
    </row>
    <row r="25" spans="1:3" ht="15.75">
      <c r="A25" s="121" t="s">
        <v>81</v>
      </c>
      <c r="B25" s="308"/>
      <c r="C25" s="305"/>
    </row>
    <row r="26" spans="1:10" ht="15.75">
      <c r="A26" s="121" t="s">
        <v>82</v>
      </c>
      <c r="B26" s="308">
        <v>25.065</v>
      </c>
      <c r="C26" s="307">
        <v>32.67937814</v>
      </c>
      <c r="J26" s="318">
        <f>J23-J21</f>
        <v>-22.503923960652287</v>
      </c>
    </row>
    <row r="27" spans="1:3" ht="15.75">
      <c r="A27" s="121" t="s">
        <v>83</v>
      </c>
      <c r="B27" s="305"/>
      <c r="C27" s="305"/>
    </row>
    <row r="28" spans="1:6" ht="15.75">
      <c r="A28" s="121" t="s">
        <v>84</v>
      </c>
      <c r="B28" s="308" t="s">
        <v>745</v>
      </c>
      <c r="C28" s="229">
        <v>25.493</v>
      </c>
      <c r="E28" s="657">
        <f>8!D19</f>
        <v>82.87924211155574</v>
      </c>
      <c r="F28" s="657">
        <f>8!L19</f>
        <v>15.346478291754936</v>
      </c>
    </row>
    <row r="29" spans="1:6" ht="31.5">
      <c r="A29" s="121" t="s">
        <v>85</v>
      </c>
      <c r="B29" s="308" t="str">
        <f>B30</f>
        <v>0,052/-20,354</v>
      </c>
      <c r="C29" s="229">
        <f>C30</f>
        <v>17.562</v>
      </c>
      <c r="E29" s="657">
        <f>8!D35</f>
        <v>0.051974538444259366</v>
      </c>
      <c r="F29" s="657">
        <f>8!L36</f>
        <v>-20.353570470723895</v>
      </c>
    </row>
    <row r="30" spans="1:6" ht="15.75">
      <c r="A30" s="122" t="s">
        <v>86</v>
      </c>
      <c r="B30" s="730" t="s">
        <v>746</v>
      </c>
      <c r="C30" s="229">
        <v>17.562</v>
      </c>
      <c r="E30" s="606"/>
      <c r="F30" s="606"/>
    </row>
    <row r="31" spans="1:6" ht="15.75">
      <c r="A31" s="122" t="s">
        <v>87</v>
      </c>
      <c r="B31" s="595"/>
      <c r="C31" s="305"/>
      <c r="E31" s="606"/>
      <c r="F31" s="606"/>
    </row>
    <row r="32" spans="1:6" ht="15.75">
      <c r="A32" s="122" t="s">
        <v>88</v>
      </c>
      <c r="B32" s="595"/>
      <c r="C32" s="306"/>
      <c r="E32" s="606"/>
      <c r="F32" s="606"/>
    </row>
    <row r="33" spans="1:6" ht="15.75">
      <c r="A33" s="122" t="s">
        <v>89</v>
      </c>
      <c r="B33" s="595"/>
      <c r="C33" s="306"/>
      <c r="E33" s="606"/>
      <c r="F33" s="606"/>
    </row>
    <row r="34" spans="1:6" ht="15.75">
      <c r="A34" s="121" t="s">
        <v>90</v>
      </c>
      <c r="B34" s="595"/>
      <c r="C34" s="306"/>
      <c r="E34" s="606"/>
      <c r="F34" s="606"/>
    </row>
    <row r="35" spans="1:6" ht="15.75">
      <c r="A35" s="122" t="s">
        <v>91</v>
      </c>
      <c r="B35" s="595"/>
      <c r="C35" s="306"/>
      <c r="E35" s="606"/>
      <c r="F35" s="606"/>
    </row>
    <row r="36" spans="1:6" ht="15.75">
      <c r="A36" s="122" t="s">
        <v>92</v>
      </c>
      <c r="B36" s="595"/>
      <c r="C36" s="306"/>
      <c r="E36" s="606"/>
      <c r="F36" s="606"/>
    </row>
    <row r="37" spans="1:6" ht="15.75">
      <c r="A37" s="123" t="s">
        <v>93</v>
      </c>
      <c r="B37" s="595"/>
      <c r="C37" s="306"/>
      <c r="E37" s="606"/>
      <c r="F37" s="606"/>
    </row>
    <row r="38" spans="1:6" ht="15.75">
      <c r="A38" s="123" t="s">
        <v>94</v>
      </c>
      <c r="B38" s="595"/>
      <c r="C38" s="306"/>
      <c r="E38" s="606"/>
      <c r="F38" s="606"/>
    </row>
    <row r="39" spans="1:6" ht="15.75">
      <c r="A39" s="123" t="s">
        <v>95</v>
      </c>
      <c r="B39" s="595"/>
      <c r="C39" s="306"/>
      <c r="E39" s="606"/>
      <c r="F39" s="606"/>
    </row>
    <row r="40" spans="1:6" ht="31.5">
      <c r="A40" s="121" t="s">
        <v>96</v>
      </c>
      <c r="B40" s="308" t="s">
        <v>721</v>
      </c>
      <c r="C40" s="229">
        <v>4.385</v>
      </c>
      <c r="E40" s="657">
        <f>'7.1'!E38</f>
        <v>8.298079469031453</v>
      </c>
      <c r="F40" s="657">
        <f>'7.1'!M38</f>
        <v>0</v>
      </c>
    </row>
    <row r="41" spans="1:3" ht="15.75">
      <c r="A41" s="884" t="s">
        <v>97</v>
      </c>
      <c r="B41" s="884"/>
      <c r="C41" s="884"/>
    </row>
    <row r="42" spans="1:3" ht="31.5">
      <c r="A42" s="121" t="s">
        <v>378</v>
      </c>
      <c r="B42" s="891">
        <v>123.29176755719998</v>
      </c>
      <c r="C42" s="892"/>
    </row>
    <row r="43" spans="1:9" ht="15.75">
      <c r="A43" s="121" t="s">
        <v>98</v>
      </c>
      <c r="B43" s="891">
        <v>125.98578294412536</v>
      </c>
      <c r="C43" s="892"/>
      <c r="H43" s="607">
        <f>H44+H45</f>
        <v>123.29176755719998</v>
      </c>
      <c r="I43" s="606" t="s">
        <v>742</v>
      </c>
    </row>
    <row r="44" spans="1:9" ht="16.5" thickBot="1">
      <c r="A44" s="121" t="s">
        <v>99</v>
      </c>
      <c r="B44" s="889">
        <v>108.37181667961805</v>
      </c>
      <c r="C44" s="890"/>
      <c r="E44" s="657">
        <v>96.83109775832315</v>
      </c>
      <c r="F44" s="606" t="s">
        <v>701</v>
      </c>
      <c r="G44" s="606"/>
      <c r="H44" s="607">
        <v>96.8310977583232</v>
      </c>
      <c r="I44" s="606" t="s">
        <v>743</v>
      </c>
    </row>
    <row r="45" spans="1:10" ht="16.5" thickBot="1">
      <c r="A45" s="121" t="s">
        <v>100</v>
      </c>
      <c r="B45" s="882">
        <f>B42-B44</f>
        <v>14.919950877581925</v>
      </c>
      <c r="C45" s="883"/>
      <c r="E45" s="607">
        <f>B44-E44</f>
        <v>11.540718921294896</v>
      </c>
      <c r="F45" s="606"/>
      <c r="G45" s="606"/>
      <c r="H45" s="713">
        <f>B42-H44</f>
        <v>26.46066979887678</v>
      </c>
      <c r="I45" s="714" t="s">
        <v>674</v>
      </c>
      <c r="J45" s="318"/>
    </row>
    <row r="46" spans="1:5" ht="15.75">
      <c r="A46" s="884" t="s">
        <v>101</v>
      </c>
      <c r="B46" s="884"/>
      <c r="C46" s="884"/>
      <c r="E46" s="607">
        <f>H45-E45</f>
        <v>14.919950877581883</v>
      </c>
    </row>
    <row r="47" spans="1:8" ht="15.75">
      <c r="A47" s="124" t="s">
        <v>102</v>
      </c>
      <c r="B47" s="885"/>
      <c r="C47" s="885"/>
      <c r="E47" s="592"/>
      <c r="F47" s="592"/>
      <c r="H47" s="592"/>
    </row>
    <row r="48" spans="1:3" ht="15.75">
      <c r="A48" s="315" t="s">
        <v>397</v>
      </c>
      <c r="B48" s="885"/>
      <c r="C48" s="885"/>
    </row>
    <row r="49" spans="1:8" ht="15.75">
      <c r="A49" s="315" t="s">
        <v>398</v>
      </c>
      <c r="B49" s="886">
        <v>1</v>
      </c>
      <c r="C49" s="886"/>
      <c r="H49" s="592"/>
    </row>
    <row r="50" spans="1:3" ht="48" customHeight="1">
      <c r="A50" s="125" t="s">
        <v>103</v>
      </c>
      <c r="B50" s="887" t="s">
        <v>723</v>
      </c>
      <c r="C50" s="888"/>
    </row>
    <row r="51" spans="1:8" ht="15.75">
      <c r="A51" s="126"/>
      <c r="B51" s="126"/>
      <c r="H51" s="111" t="s">
        <v>699</v>
      </c>
    </row>
    <row r="52" spans="1:8" ht="15.75">
      <c r="A52" s="881" t="s">
        <v>104</v>
      </c>
      <c r="B52" s="881"/>
      <c r="C52" s="881"/>
      <c r="H52" s="111">
        <v>0.9306378269389359</v>
      </c>
    </row>
    <row r="53" spans="1:8" ht="15.75">
      <c r="A53" s="304"/>
      <c r="B53" s="304"/>
      <c r="C53" s="304"/>
      <c r="H53" s="111" t="s">
        <v>700</v>
      </c>
    </row>
    <row r="54" ht="15.75">
      <c r="H54" s="111">
        <f>8!D31-8!E31-8!G31-8!I31-8!K31</f>
        <v>10.61008109435593</v>
      </c>
    </row>
    <row r="55" spans="1:8" ht="15.75">
      <c r="A55" s="814" t="s">
        <v>672</v>
      </c>
      <c r="B55" s="814"/>
      <c r="C55" s="814"/>
      <c r="H55" s="111" t="s">
        <v>741</v>
      </c>
    </row>
    <row r="56" spans="1:8" ht="15.75">
      <c r="A56" s="711"/>
      <c r="B56" s="711"/>
      <c r="C56" s="711"/>
      <c r="H56" s="111">
        <f>8!D28-8!C28</f>
        <v>0</v>
      </c>
    </row>
    <row r="57" ht="15.75">
      <c r="H57" s="657">
        <f>H52+H54+H56</f>
        <v>11.540718921294866</v>
      </c>
    </row>
    <row r="58" ht="15.75">
      <c r="H58" s="607">
        <f>E45-H57</f>
        <v>3.019806626980426E-14</v>
      </c>
    </row>
  </sheetData>
  <sheetProtection/>
  <mergeCells count="14">
    <mergeCell ref="B44:C44"/>
    <mergeCell ref="A12:C12"/>
    <mergeCell ref="A14:C14"/>
    <mergeCell ref="A41:C41"/>
    <mergeCell ref="B42:C42"/>
    <mergeCell ref="B43:C43"/>
    <mergeCell ref="A55:C55"/>
    <mergeCell ref="A52:C52"/>
    <mergeCell ref="B45:C45"/>
    <mergeCell ref="A46:C46"/>
    <mergeCell ref="B47:C47"/>
    <mergeCell ref="B48:C48"/>
    <mergeCell ref="B49:C49"/>
    <mergeCell ref="B50:C50"/>
  </mergeCells>
  <printOptions/>
  <pageMargins left="0.7" right="0.2" top="0.54" bottom="0.35" header="0.3" footer="0.3"/>
  <pageSetup fitToHeight="1" fitToWidth="1" horizontalDpi="600" verticalDpi="600" orientation="portrait" paperSize="9" scale="82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6"/>
  <sheetViews>
    <sheetView view="pageBreakPreview" zoomScale="75" zoomScaleNormal="80" zoomScaleSheetLayoutView="75" zoomScalePageLayoutView="0" workbookViewId="0" topLeftCell="A1">
      <pane xSplit="2" topLeftCell="C1" activePane="topRight" state="frozen"/>
      <selection pane="topLeft" activeCell="A10" sqref="A10"/>
      <selection pane="topRight" activeCell="L14" sqref="L14"/>
    </sheetView>
  </sheetViews>
  <sheetFormatPr defaultColWidth="9.00390625" defaultRowHeight="15.75"/>
  <cols>
    <col min="1" max="1" width="8.875" style="395" bestFit="1" customWidth="1"/>
    <col min="2" max="2" width="31.625" style="396" customWidth="1"/>
    <col min="3" max="4" width="11.00390625" style="396" bestFit="1" customWidth="1"/>
    <col min="5" max="5" width="8.125" style="396" bestFit="1" customWidth="1"/>
    <col min="6" max="6" width="14.00390625" style="396" bestFit="1" customWidth="1"/>
    <col min="7" max="7" width="13.375" style="396" bestFit="1" customWidth="1"/>
    <col min="8" max="8" width="16.125" style="396" bestFit="1" customWidth="1"/>
    <col min="9" max="9" width="11.75390625" style="396" bestFit="1" customWidth="1"/>
    <col min="10" max="10" width="16.875" style="396" customWidth="1"/>
    <col min="11" max="11" width="13.25390625" style="396" customWidth="1"/>
    <col min="12" max="21" width="9.00390625" style="395" customWidth="1"/>
    <col min="22" max="16384" width="9.00390625" style="395" customWidth="1"/>
  </cols>
  <sheetData>
    <row r="1" ht="15">
      <c r="K1" s="199" t="s">
        <v>571</v>
      </c>
    </row>
    <row r="2" ht="15">
      <c r="K2" s="199" t="s">
        <v>37</v>
      </c>
    </row>
    <row r="3" ht="15">
      <c r="K3" s="303" t="s">
        <v>379</v>
      </c>
    </row>
    <row r="4" ht="15.75">
      <c r="K4" s="112"/>
    </row>
    <row r="5" ht="15.75">
      <c r="K5" s="3" t="s">
        <v>38</v>
      </c>
    </row>
    <row r="6" ht="15.75">
      <c r="K6" s="3" t="s">
        <v>698</v>
      </c>
    </row>
    <row r="7" ht="15.75">
      <c r="K7" s="3"/>
    </row>
    <row r="8" ht="15.75">
      <c r="K8" s="3" t="s">
        <v>667</v>
      </c>
    </row>
    <row r="9" ht="15.75">
      <c r="K9" s="3" t="s">
        <v>748</v>
      </c>
    </row>
    <row r="10" ht="15.75">
      <c r="K10" s="3" t="s">
        <v>42</v>
      </c>
    </row>
    <row r="11" spans="1:11" ht="33.75" customHeight="1">
      <c r="A11" s="895" t="s">
        <v>731</v>
      </c>
      <c r="B11" s="896"/>
      <c r="C11" s="896"/>
      <c r="D11" s="896"/>
      <c r="E11" s="896"/>
      <c r="F11" s="896"/>
      <c r="G11" s="896"/>
      <c r="H11" s="896"/>
      <c r="I11" s="896"/>
      <c r="J11" s="896"/>
      <c r="K11" s="896"/>
    </row>
    <row r="12" spans="1:11" ht="33.75" customHeight="1">
      <c r="A12" s="897" t="s">
        <v>683</v>
      </c>
      <c r="B12" s="897"/>
      <c r="C12" s="897"/>
      <c r="D12" s="897"/>
      <c r="E12" s="897"/>
      <c r="F12" s="897"/>
      <c r="G12" s="897"/>
      <c r="H12" s="897"/>
      <c r="I12" s="897"/>
      <c r="J12" s="897"/>
      <c r="K12" s="897"/>
    </row>
    <row r="14" spans="1:11" s="396" customFormat="1" ht="84.75" customHeight="1">
      <c r="A14" s="894" t="s">
        <v>572</v>
      </c>
      <c r="B14" s="894" t="s">
        <v>573</v>
      </c>
      <c r="C14" s="894" t="s">
        <v>574</v>
      </c>
      <c r="D14" s="894"/>
      <c r="E14" s="894"/>
      <c r="F14" s="894" t="s">
        <v>575</v>
      </c>
      <c r="G14" s="894"/>
      <c r="H14" s="894" t="s">
        <v>576</v>
      </c>
      <c r="I14" s="894"/>
      <c r="J14" s="894"/>
      <c r="K14" s="894"/>
    </row>
    <row r="15" spans="1:11" s="396" customFormat="1" ht="39.75" customHeight="1">
      <c r="A15" s="898"/>
      <c r="B15" s="894"/>
      <c r="C15" s="894" t="s">
        <v>577</v>
      </c>
      <c r="D15" s="894" t="s">
        <v>578</v>
      </c>
      <c r="E15" s="894" t="s">
        <v>579</v>
      </c>
      <c r="F15" s="894" t="s">
        <v>580</v>
      </c>
      <c r="G15" s="894" t="s">
        <v>581</v>
      </c>
      <c r="H15" s="894" t="s">
        <v>582</v>
      </c>
      <c r="I15" s="894" t="s">
        <v>583</v>
      </c>
      <c r="J15" s="894" t="s">
        <v>584</v>
      </c>
      <c r="K15" s="894" t="s">
        <v>585</v>
      </c>
    </row>
    <row r="16" spans="1:11" ht="63.75" customHeight="1">
      <c r="A16" s="898"/>
      <c r="B16" s="894"/>
      <c r="C16" s="894"/>
      <c r="D16" s="894"/>
      <c r="E16" s="894"/>
      <c r="F16" s="894"/>
      <c r="G16" s="894"/>
      <c r="H16" s="894"/>
      <c r="I16" s="894"/>
      <c r="J16" s="894"/>
      <c r="K16" s="894"/>
    </row>
    <row r="17" spans="1:12" ht="48" customHeight="1">
      <c r="A17" s="398">
        <v>1</v>
      </c>
      <c r="B17" s="397" t="str">
        <f>'7.1'!B20</f>
        <v>Реконструкция электроснабжения с. Ковран (Установка модульной ДЭС в с. Ковран)</v>
      </c>
      <c r="C17" s="624" t="s">
        <v>488</v>
      </c>
      <c r="D17" s="624">
        <v>0.712</v>
      </c>
      <c r="E17" s="442"/>
      <c r="F17" s="624">
        <v>2014</v>
      </c>
      <c r="G17" s="624">
        <v>2014</v>
      </c>
      <c r="H17" s="577" t="s">
        <v>658</v>
      </c>
      <c r="I17" s="577" t="s">
        <v>658</v>
      </c>
      <c r="J17" s="577" t="s">
        <v>657</v>
      </c>
      <c r="K17" s="577" t="s">
        <v>658</v>
      </c>
      <c r="L17" s="422"/>
    </row>
    <row r="18" spans="1:12" ht="30.75" customHeight="1">
      <c r="A18" s="398">
        <v>2</v>
      </c>
      <c r="B18" s="397" t="str">
        <f>'7.1'!B21</f>
        <v>Строительство склада ГСМ в с. Ковран</v>
      </c>
      <c r="C18" s="624" t="s">
        <v>495</v>
      </c>
      <c r="D18" s="624"/>
      <c r="E18" s="442"/>
      <c r="F18" s="624">
        <v>2014</v>
      </c>
      <c r="G18" s="624">
        <v>2015</v>
      </c>
      <c r="H18" s="577" t="s">
        <v>658</v>
      </c>
      <c r="I18" s="577" t="s">
        <v>658</v>
      </c>
      <c r="J18" s="577" t="s">
        <v>657</v>
      </c>
      <c r="K18" s="577" t="s">
        <v>658</v>
      </c>
      <c r="L18" s="422"/>
    </row>
    <row r="19" spans="1:11" ht="30" customHeight="1">
      <c r="A19" s="398">
        <v>3</v>
      </c>
      <c r="B19" s="397" t="str">
        <f>'7.1'!B22</f>
        <v>Строительство склада ГСМ в с. Вывенка</v>
      </c>
      <c r="C19" s="577" t="s">
        <v>497</v>
      </c>
      <c r="D19" s="577"/>
      <c r="E19" s="398"/>
      <c r="F19" s="577">
        <v>2014</v>
      </c>
      <c r="G19" s="577">
        <v>2016</v>
      </c>
      <c r="H19" s="577" t="s">
        <v>545</v>
      </c>
      <c r="I19" s="577" t="s">
        <v>658</v>
      </c>
      <c r="J19" s="577" t="s">
        <v>657</v>
      </c>
      <c r="K19" s="577" t="s">
        <v>545</v>
      </c>
    </row>
    <row r="20" spans="1:11" ht="30.75" customHeight="1">
      <c r="A20" s="398">
        <v>4</v>
      </c>
      <c r="B20" s="397" t="str">
        <f>'7.1'!B23</f>
        <v>Строительство склада ГСМ в с.Тиличики 1000м3</v>
      </c>
      <c r="C20" s="577" t="s">
        <v>632</v>
      </c>
      <c r="D20" s="577"/>
      <c r="E20" s="398"/>
      <c r="F20" s="577">
        <v>2014</v>
      </c>
      <c r="G20" s="577">
        <v>2016</v>
      </c>
      <c r="H20" s="577" t="s">
        <v>545</v>
      </c>
      <c r="I20" s="577" t="s">
        <v>658</v>
      </c>
      <c r="J20" s="577" t="s">
        <v>545</v>
      </c>
      <c r="K20" s="577" t="s">
        <v>545</v>
      </c>
    </row>
    <row r="21" spans="1:11" ht="35.25" customHeight="1">
      <c r="A21" s="398">
        <v>5</v>
      </c>
      <c r="B21" s="397" t="str">
        <f>'7.1'!B24</f>
        <v>Строительство базового склада ГСМ 400м3 в с. Апука</v>
      </c>
      <c r="C21" s="577" t="s">
        <v>497</v>
      </c>
      <c r="D21" s="577"/>
      <c r="E21" s="398"/>
      <c r="F21" s="577">
        <v>2014</v>
      </c>
      <c r="G21" s="577">
        <v>2015</v>
      </c>
      <c r="H21" s="577" t="s">
        <v>658</v>
      </c>
      <c r="I21" s="577" t="s">
        <v>658</v>
      </c>
      <c r="J21" s="577" t="s">
        <v>657</v>
      </c>
      <c r="K21" s="577" t="s">
        <v>658</v>
      </c>
    </row>
    <row r="22" spans="1:11" ht="54.75" customHeight="1">
      <c r="A22" s="398">
        <v>6</v>
      </c>
      <c r="B22" s="397" t="str">
        <f>'7.1'!B25</f>
        <v>Реконструкция электроснабжения с. Пахачи (Строительство ДЭС в п. Пахачи)</v>
      </c>
      <c r="C22" s="577" t="s">
        <v>678</v>
      </c>
      <c r="D22" s="577">
        <v>7.565</v>
      </c>
      <c r="E22" s="398"/>
      <c r="F22" s="577">
        <v>2014</v>
      </c>
      <c r="G22" s="577">
        <v>2018</v>
      </c>
      <c r="H22" s="577" t="s">
        <v>657</v>
      </c>
      <c r="I22" s="577" t="s">
        <v>658</v>
      </c>
      <c r="J22" s="577" t="s">
        <v>657</v>
      </c>
      <c r="K22" s="577" t="s">
        <v>657</v>
      </c>
    </row>
    <row r="23" spans="1:11" ht="45" customHeight="1">
      <c r="A23" s="398">
        <v>7</v>
      </c>
      <c r="B23" s="397" t="str">
        <f>'7.1'!B26</f>
        <v>Реконструкция электроснабжения с. Усть-Хайрюзово (техническое перевооружение ДЭС)</v>
      </c>
      <c r="C23" s="577" t="s">
        <v>680</v>
      </c>
      <c r="D23" s="577">
        <v>5.693</v>
      </c>
      <c r="E23" s="398"/>
      <c r="F23" s="577">
        <v>2015</v>
      </c>
      <c r="G23" s="577">
        <v>2018</v>
      </c>
      <c r="H23" s="577" t="s">
        <v>545</v>
      </c>
      <c r="I23" s="577" t="s">
        <v>658</v>
      </c>
      <c r="J23" s="577" t="s">
        <v>658</v>
      </c>
      <c r="K23" s="577" t="s">
        <v>658</v>
      </c>
    </row>
    <row r="24" spans="1:11" ht="36" customHeight="1">
      <c r="A24" s="398">
        <v>8</v>
      </c>
      <c r="B24" s="397" t="str">
        <f>'7.1'!B27</f>
        <v>Установка одного ДГУ на ДЭС-16 п.Средние Пахачи</v>
      </c>
      <c r="C24" s="577" t="s">
        <v>684</v>
      </c>
      <c r="D24" s="594">
        <v>0.997361</v>
      </c>
      <c r="E24" s="398"/>
      <c r="F24" s="577">
        <v>2015</v>
      </c>
      <c r="G24" s="577">
        <v>2016</v>
      </c>
      <c r="H24" s="577" t="s">
        <v>658</v>
      </c>
      <c r="I24" s="577" t="s">
        <v>658</v>
      </c>
      <c r="J24" s="577" t="s">
        <v>658</v>
      </c>
      <c r="K24" s="577" t="s">
        <v>658</v>
      </c>
    </row>
    <row r="25" spans="1:11" ht="40.5" customHeight="1" hidden="1">
      <c r="A25" s="577">
        <v>9</v>
      </c>
      <c r="B25" s="578">
        <f>'7.1'!B28</f>
        <v>0</v>
      </c>
      <c r="C25" s="577"/>
      <c r="D25" s="594"/>
      <c r="E25" s="577"/>
      <c r="F25" s="577"/>
      <c r="G25" s="577"/>
      <c r="H25" s="577"/>
      <c r="I25" s="577"/>
      <c r="J25" s="577"/>
      <c r="K25" s="577"/>
    </row>
    <row r="26" spans="1:11" ht="35.25" customHeight="1" hidden="1">
      <c r="A26" s="577">
        <v>10</v>
      </c>
      <c r="B26" s="578">
        <f>'7.1'!B29</f>
        <v>0</v>
      </c>
      <c r="C26" s="577"/>
      <c r="D26" s="594"/>
      <c r="E26" s="577"/>
      <c r="F26" s="577"/>
      <c r="G26" s="577"/>
      <c r="H26" s="577"/>
      <c r="I26" s="577"/>
      <c r="J26" s="577"/>
      <c r="K26" s="577"/>
    </row>
    <row r="28" spans="2:10" ht="15">
      <c r="B28" s="893" t="s">
        <v>376</v>
      </c>
      <c r="C28" s="893"/>
      <c r="D28" s="893"/>
      <c r="E28" s="893"/>
      <c r="F28" s="893"/>
      <c r="G28" s="893"/>
      <c r="H28" s="893"/>
      <c r="I28" s="893"/>
      <c r="J28" s="893"/>
    </row>
    <row r="31" spans="1:11" ht="15">
      <c r="A31" s="569"/>
      <c r="B31" s="569"/>
      <c r="C31" s="569"/>
      <c r="D31" s="569"/>
      <c r="E31" s="569"/>
      <c r="F31" s="569"/>
      <c r="G31" s="569"/>
      <c r="H31" s="569"/>
      <c r="I31" s="569"/>
      <c r="J31" s="569"/>
      <c r="K31" s="569"/>
    </row>
    <row r="32" spans="1:11" ht="15">
      <c r="A32" s="569"/>
      <c r="B32" s="569"/>
      <c r="C32" s="569"/>
      <c r="D32" s="569"/>
      <c r="E32" s="569"/>
      <c r="F32" s="569"/>
      <c r="G32" s="569"/>
      <c r="H32" s="569"/>
      <c r="I32" s="569"/>
      <c r="J32" s="569"/>
      <c r="K32" s="569"/>
    </row>
    <row r="33" spans="1:11" ht="15">
      <c r="A33" s="708"/>
      <c r="B33" s="708"/>
      <c r="C33" s="708"/>
      <c r="D33" s="708"/>
      <c r="E33" s="708"/>
      <c r="F33" s="708"/>
      <c r="G33" s="708"/>
      <c r="H33" s="708"/>
      <c r="I33" s="708"/>
      <c r="J33" s="708"/>
      <c r="K33" s="708"/>
    </row>
    <row r="34" spans="1:11" ht="15">
      <c r="A34" s="708"/>
      <c r="B34" s="708"/>
      <c r="C34" s="708"/>
      <c r="D34" s="708"/>
      <c r="E34" s="708"/>
      <c r="F34" s="708"/>
      <c r="G34" s="708"/>
      <c r="H34" s="708"/>
      <c r="I34" s="708"/>
      <c r="J34" s="708"/>
      <c r="K34" s="708"/>
    </row>
    <row r="35" spans="1:11" ht="15">
      <c r="A35" s="708"/>
      <c r="B35" s="708"/>
      <c r="C35" s="708"/>
      <c r="D35" s="708"/>
      <c r="E35" s="708"/>
      <c r="F35" s="708"/>
      <c r="G35" s="708"/>
      <c r="H35" s="708"/>
      <c r="I35" s="708"/>
      <c r="J35" s="708"/>
      <c r="K35" s="708"/>
    </row>
    <row r="36" spans="1:11" ht="15">
      <c r="A36" s="708"/>
      <c r="B36" s="708"/>
      <c r="C36" s="708"/>
      <c r="D36" s="708"/>
      <c r="E36" s="708"/>
      <c r="F36" s="708"/>
      <c r="G36" s="708"/>
      <c r="H36" s="708"/>
      <c r="I36" s="708"/>
      <c r="J36" s="708"/>
      <c r="K36" s="708"/>
    </row>
    <row r="37" spans="1:11" ht="15">
      <c r="A37" s="708"/>
      <c r="B37" s="708"/>
      <c r="C37" s="708"/>
      <c r="D37" s="708"/>
      <c r="E37" s="708"/>
      <c r="F37" s="708"/>
      <c r="G37" s="708"/>
      <c r="H37" s="708"/>
      <c r="I37" s="708"/>
      <c r="J37" s="708"/>
      <c r="K37" s="708"/>
    </row>
    <row r="38" spans="1:11" ht="15">
      <c r="A38" s="708"/>
      <c r="B38" s="708"/>
      <c r="C38" s="708"/>
      <c r="D38" s="708"/>
      <c r="E38" s="708"/>
      <c r="F38" s="708"/>
      <c r="G38" s="708"/>
      <c r="H38" s="708"/>
      <c r="I38" s="708"/>
      <c r="J38" s="708"/>
      <c r="K38" s="708"/>
    </row>
    <row r="39" spans="1:11" ht="15">
      <c r="A39" s="708"/>
      <c r="B39" s="708"/>
      <c r="C39" s="708"/>
      <c r="D39" s="708"/>
      <c r="E39" s="708"/>
      <c r="F39" s="708"/>
      <c r="G39" s="708"/>
      <c r="H39" s="708"/>
      <c r="I39" s="708"/>
      <c r="J39" s="708"/>
      <c r="K39" s="708"/>
    </row>
    <row r="40" spans="1:11" ht="15">
      <c r="A40" s="708"/>
      <c r="B40" s="708"/>
      <c r="C40" s="708"/>
      <c r="D40" s="708"/>
      <c r="E40" s="708"/>
      <c r="F40" s="708"/>
      <c r="G40" s="708"/>
      <c r="H40" s="708"/>
      <c r="I40" s="708"/>
      <c r="J40" s="708"/>
      <c r="K40" s="708"/>
    </row>
    <row r="41" spans="1:11" ht="15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</row>
    <row r="42" spans="1:11" ht="15">
      <c r="A42" s="569"/>
      <c r="B42" s="569"/>
      <c r="C42" s="569"/>
      <c r="D42" s="569"/>
      <c r="E42" s="569"/>
      <c r="F42" s="569"/>
      <c r="G42" s="569"/>
      <c r="H42" s="569"/>
      <c r="I42" s="569"/>
      <c r="J42" s="569"/>
      <c r="K42" s="569"/>
    </row>
    <row r="43" spans="1:11" ht="15">
      <c r="A43" s="569"/>
      <c r="B43" s="569"/>
      <c r="C43" s="569"/>
      <c r="D43" s="569"/>
      <c r="E43" s="569"/>
      <c r="F43" s="569"/>
      <c r="G43" s="569"/>
      <c r="H43" s="569"/>
      <c r="I43" s="569"/>
      <c r="J43" s="569"/>
      <c r="K43" s="569"/>
    </row>
    <row r="44" spans="1:11" ht="15">
      <c r="A44" s="569"/>
      <c r="B44" s="569"/>
      <c r="C44" s="569"/>
      <c r="D44" s="569"/>
      <c r="E44" s="569"/>
      <c r="F44" s="569"/>
      <c r="G44" s="569"/>
      <c r="H44" s="569"/>
      <c r="I44" s="569"/>
      <c r="J44" s="569"/>
      <c r="K44" s="569"/>
    </row>
    <row r="45" spans="1:11" ht="15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</row>
    <row r="46" spans="1:11" ht="15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</row>
    <row r="47" spans="1:11" ht="15">
      <c r="A47" s="569"/>
      <c r="B47" s="569"/>
      <c r="C47" s="569"/>
      <c r="D47" s="569"/>
      <c r="E47" s="569"/>
      <c r="F47" s="569"/>
      <c r="G47" s="569"/>
      <c r="H47" s="569"/>
      <c r="I47" s="569"/>
      <c r="J47" s="569"/>
      <c r="K47" s="569"/>
    </row>
    <row r="48" spans="1:11" ht="15">
      <c r="A48" s="569"/>
      <c r="B48" s="569"/>
      <c r="C48" s="569"/>
      <c r="D48" s="569"/>
      <c r="E48" s="569"/>
      <c r="F48" s="569"/>
      <c r="G48" s="569"/>
      <c r="H48" s="569"/>
      <c r="I48" s="569"/>
      <c r="J48" s="569"/>
      <c r="K48" s="569"/>
    </row>
    <row r="49" spans="1:11" ht="15">
      <c r="A49" s="475"/>
      <c r="B49" s="475"/>
      <c r="C49" s="475"/>
      <c r="D49" s="475"/>
      <c r="E49" s="475"/>
      <c r="F49" s="475"/>
      <c r="G49" s="475"/>
      <c r="H49" s="475"/>
      <c r="I49" s="475"/>
      <c r="J49" s="475"/>
      <c r="K49" s="475"/>
    </row>
    <row r="50" spans="1:11" ht="15">
      <c r="A50" s="475"/>
      <c r="B50" s="475"/>
      <c r="C50" s="475"/>
      <c r="D50" s="475"/>
      <c r="E50" s="475"/>
      <c r="F50" s="475"/>
      <c r="G50" s="475"/>
      <c r="H50" s="475"/>
      <c r="I50" s="475"/>
      <c r="J50" s="475"/>
      <c r="K50" s="475"/>
    </row>
    <row r="51" spans="1:11" ht="15">
      <c r="A51" s="475"/>
      <c r="B51" s="475"/>
      <c r="C51" s="475"/>
      <c r="D51" s="475"/>
      <c r="E51" s="475"/>
      <c r="F51" s="475"/>
      <c r="G51" s="475"/>
      <c r="H51" s="475"/>
      <c r="I51" s="475"/>
      <c r="J51" s="475"/>
      <c r="K51" s="475"/>
    </row>
    <row r="52" spans="1:11" ht="15">
      <c r="A52" s="475"/>
      <c r="B52" s="475"/>
      <c r="C52" s="475"/>
      <c r="D52" s="475"/>
      <c r="E52" s="475"/>
      <c r="F52" s="475"/>
      <c r="G52" s="475"/>
      <c r="H52" s="475"/>
      <c r="I52" s="475"/>
      <c r="J52" s="475"/>
      <c r="K52" s="475"/>
    </row>
    <row r="53" spans="1:11" ht="15">
      <c r="A53" s="475"/>
      <c r="B53" s="475"/>
      <c r="C53" s="475"/>
      <c r="D53" s="475"/>
      <c r="E53" s="475"/>
      <c r="F53" s="475"/>
      <c r="G53" s="475"/>
      <c r="H53" s="475"/>
      <c r="I53" s="475"/>
      <c r="J53" s="475"/>
      <c r="K53" s="475"/>
    </row>
    <row r="54" spans="1:11" ht="15">
      <c r="A54" s="475"/>
      <c r="B54" s="475"/>
      <c r="C54" s="475"/>
      <c r="D54" s="475"/>
      <c r="E54" s="475"/>
      <c r="F54" s="475"/>
      <c r="G54" s="475"/>
      <c r="H54" s="475"/>
      <c r="I54" s="475"/>
      <c r="J54" s="475"/>
      <c r="K54" s="475"/>
    </row>
    <row r="55" spans="1:11" ht="15">
      <c r="A55" s="475"/>
      <c r="B55" s="475"/>
      <c r="C55" s="475"/>
      <c r="D55" s="475"/>
      <c r="E55" s="475"/>
      <c r="F55" s="475"/>
      <c r="G55" s="475"/>
      <c r="H55" s="475"/>
      <c r="I55" s="475"/>
      <c r="J55" s="475"/>
      <c r="K55" s="475"/>
    </row>
    <row r="56" spans="1:11" ht="15">
      <c r="A56" s="475"/>
      <c r="B56" s="475"/>
      <c r="C56" s="475"/>
      <c r="D56" s="475"/>
      <c r="E56" s="475"/>
      <c r="F56" s="475"/>
      <c r="G56" s="475"/>
      <c r="H56" s="475"/>
      <c r="I56" s="475"/>
      <c r="J56" s="475"/>
      <c r="K56" s="475"/>
    </row>
  </sheetData>
  <sheetProtection/>
  <mergeCells count="17">
    <mergeCell ref="K15:K16"/>
    <mergeCell ref="A11:K11"/>
    <mergeCell ref="A12:K12"/>
    <mergeCell ref="A14:A16"/>
    <mergeCell ref="B14:B16"/>
    <mergeCell ref="C14:E14"/>
    <mergeCell ref="F14:G14"/>
    <mergeCell ref="H14:K14"/>
    <mergeCell ref="C15:C16"/>
    <mergeCell ref="D15:D16"/>
    <mergeCell ref="B28:J28"/>
    <mergeCell ref="F15:F16"/>
    <mergeCell ref="G15:G16"/>
    <mergeCell ref="H15:H16"/>
    <mergeCell ref="I15:I16"/>
    <mergeCell ref="J15:J16"/>
    <mergeCell ref="E15:E16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view="pageBreakPreview" zoomScale="77" zoomScaleSheetLayoutView="77" zoomScalePageLayoutView="0" workbookViewId="0" topLeftCell="A25">
      <selection activeCell="F45" sqref="F45"/>
    </sheetView>
  </sheetViews>
  <sheetFormatPr defaultColWidth="9.00390625" defaultRowHeight="15.75"/>
  <cols>
    <col min="1" max="1" width="4.375" style="148" customWidth="1"/>
    <col min="2" max="2" width="46.25390625" style="148" customWidth="1"/>
    <col min="3" max="3" width="11.375" style="148" customWidth="1"/>
    <col min="4" max="4" width="15.75390625" style="148" customWidth="1"/>
    <col min="5" max="7" width="12.75390625" style="148" customWidth="1"/>
    <col min="8" max="16384" width="9.00390625" style="148" customWidth="1"/>
  </cols>
  <sheetData>
    <row r="1" spans="4:7" ht="14.25" customHeight="1">
      <c r="D1" s="149" t="s">
        <v>168</v>
      </c>
      <c r="E1" s="149"/>
      <c r="F1" s="149"/>
      <c r="G1" s="149"/>
    </row>
    <row r="2" ht="5.25" customHeight="1"/>
    <row r="3" spans="1:3" s="151" customFormat="1" ht="39.75" customHeight="1">
      <c r="A3" s="899" t="s">
        <v>169</v>
      </c>
      <c r="B3" s="900"/>
      <c r="C3" s="900"/>
    </row>
    <row r="4" spans="1:7" ht="23.25" customHeight="1">
      <c r="A4" s="901" t="s">
        <v>170</v>
      </c>
      <c r="B4" s="901"/>
      <c r="D4" s="150"/>
      <c r="E4" s="150"/>
      <c r="F4" s="150"/>
      <c r="G4" s="150"/>
    </row>
    <row r="5" spans="1:7" ht="119.25" customHeight="1">
      <c r="A5" s="181" t="s">
        <v>171</v>
      </c>
      <c r="B5" s="181" t="s">
        <v>293</v>
      </c>
      <c r="C5" s="181" t="s">
        <v>172</v>
      </c>
      <c r="D5" s="153" t="s">
        <v>173</v>
      </c>
      <c r="E5" s="153" t="s">
        <v>231</v>
      </c>
      <c r="F5" s="153" t="s">
        <v>232</v>
      </c>
      <c r="G5" s="153" t="s">
        <v>233</v>
      </c>
    </row>
    <row r="6" spans="1:7" ht="12.75" customHeight="1">
      <c r="A6" s="154">
        <v>1</v>
      </c>
      <c r="B6" s="154">
        <f aca="true" t="shared" si="0" ref="B6:G6">+A6+1</f>
        <v>2</v>
      </c>
      <c r="C6" s="154">
        <f t="shared" si="0"/>
        <v>3</v>
      </c>
      <c r="D6" s="154">
        <f t="shared" si="0"/>
        <v>4</v>
      </c>
      <c r="E6" s="154">
        <f t="shared" si="0"/>
        <v>5</v>
      </c>
      <c r="F6" s="154">
        <f t="shared" si="0"/>
        <v>6</v>
      </c>
      <c r="G6" s="154">
        <f t="shared" si="0"/>
        <v>7</v>
      </c>
    </row>
    <row r="7" spans="1:7" ht="15.75">
      <c r="A7" s="155" t="s">
        <v>237</v>
      </c>
      <c r="B7" s="156" t="s">
        <v>174</v>
      </c>
      <c r="C7" s="152"/>
      <c r="D7" s="155"/>
      <c r="E7" s="155"/>
      <c r="F7" s="155"/>
      <c r="G7" s="155"/>
    </row>
    <row r="8" spans="1:7" ht="15.75">
      <c r="A8" s="155"/>
      <c r="B8" s="157" t="s">
        <v>175</v>
      </c>
      <c r="C8" s="152" t="s">
        <v>176</v>
      </c>
      <c r="D8" s="154">
        <v>251.391429</v>
      </c>
      <c r="E8" s="154">
        <v>251.391429</v>
      </c>
      <c r="F8" s="154">
        <v>251.391429</v>
      </c>
      <c r="G8" s="154">
        <v>251.391429</v>
      </c>
    </row>
    <row r="9" spans="1:7" ht="15.75">
      <c r="A9" s="155" t="s">
        <v>240</v>
      </c>
      <c r="B9" s="158" t="s">
        <v>177</v>
      </c>
      <c r="C9" s="152"/>
      <c r="D9" s="159"/>
      <c r="E9" s="159"/>
      <c r="F9" s="159"/>
      <c r="G9" s="159"/>
    </row>
    <row r="10" spans="1:7" ht="15.75">
      <c r="A10" s="155" t="s">
        <v>241</v>
      </c>
      <c r="B10" s="157" t="s">
        <v>178</v>
      </c>
      <c r="C10" s="152" t="s">
        <v>179</v>
      </c>
      <c r="D10" s="160">
        <v>4535.5</v>
      </c>
      <c r="E10" s="160">
        <v>5225</v>
      </c>
      <c r="F10" s="160">
        <f>E12</f>
        <v>5366.075</v>
      </c>
      <c r="G10" s="160">
        <f>F12</f>
        <v>5629.012674999999</v>
      </c>
    </row>
    <row r="11" spans="1:7" ht="15.75">
      <c r="A11" s="155" t="s">
        <v>242</v>
      </c>
      <c r="B11" s="157" t="s">
        <v>180</v>
      </c>
      <c r="C11" s="152"/>
      <c r="D11" s="161">
        <v>1.071</v>
      </c>
      <c r="E11" s="195">
        <f>1.027</f>
        <v>1.027</v>
      </c>
      <c r="F11" s="161">
        <v>1.049</v>
      </c>
      <c r="G11" s="161">
        <f>F11</f>
        <v>1.049</v>
      </c>
    </row>
    <row r="12" spans="1:7" ht="31.5">
      <c r="A12" s="155" t="s">
        <v>243</v>
      </c>
      <c r="B12" s="157" t="s">
        <v>181</v>
      </c>
      <c r="C12" s="152" t="s">
        <v>179</v>
      </c>
      <c r="D12" s="160">
        <f>D10*D11</f>
        <v>4857.5205</v>
      </c>
      <c r="E12" s="160">
        <f>E10*E11</f>
        <v>5366.075</v>
      </c>
      <c r="F12" s="160">
        <f>F10*F11</f>
        <v>5629.012674999999</v>
      </c>
      <c r="G12" s="160">
        <f>G10*G11</f>
        <v>5904.834296074999</v>
      </c>
    </row>
    <row r="13" spans="1:7" ht="15.75">
      <c r="A13" s="155" t="s">
        <v>244</v>
      </c>
      <c r="B13" s="155" t="s">
        <v>182</v>
      </c>
      <c r="C13" s="152"/>
      <c r="D13" s="163">
        <v>5.7344937499999995</v>
      </c>
      <c r="E13" s="163">
        <v>5.7344937499999995</v>
      </c>
      <c r="F13" s="163">
        <v>5.7344937499999995</v>
      </c>
      <c r="G13" s="163">
        <v>5.7344937499999995</v>
      </c>
    </row>
    <row r="14" spans="1:7" ht="31.5">
      <c r="A14" s="155" t="s">
        <v>289</v>
      </c>
      <c r="B14" s="157" t="s">
        <v>183</v>
      </c>
      <c r="C14" s="152" t="s">
        <v>179</v>
      </c>
      <c r="D14" s="163">
        <v>1.8996647728645781</v>
      </c>
      <c r="E14" s="163">
        <v>1.8996647728645781</v>
      </c>
      <c r="F14" s="163">
        <v>1.8996647728645781</v>
      </c>
      <c r="G14" s="163">
        <v>1.8996647728645781</v>
      </c>
    </row>
    <row r="15" spans="1:7" ht="15.75">
      <c r="A15" s="155" t="s">
        <v>334</v>
      </c>
      <c r="B15" s="157" t="s">
        <v>184</v>
      </c>
      <c r="C15" s="152" t="s">
        <v>185</v>
      </c>
      <c r="D15" s="154">
        <f>D12*D14</f>
        <v>9227.66057731753</v>
      </c>
      <c r="E15" s="154">
        <f>E12*E14</f>
        <v>10193.74364604929</v>
      </c>
      <c r="F15" s="154">
        <f>F12*F14</f>
        <v>10693.237084705705</v>
      </c>
      <c r="G15" s="154">
        <f>G12*G14</f>
        <v>11217.205701856283</v>
      </c>
    </row>
    <row r="16" spans="1:7" ht="31.5">
      <c r="A16" s="155" t="s">
        <v>63</v>
      </c>
      <c r="B16" s="157" t="s">
        <v>186</v>
      </c>
      <c r="C16" s="152"/>
      <c r="D16" s="164"/>
      <c r="E16" s="164"/>
      <c r="F16" s="164"/>
      <c r="G16" s="164"/>
    </row>
    <row r="17" spans="1:7" ht="15.75">
      <c r="A17" s="155" t="s">
        <v>187</v>
      </c>
      <c r="B17" s="157" t="s">
        <v>188</v>
      </c>
      <c r="C17" s="152" t="s">
        <v>349</v>
      </c>
      <c r="D17" s="162">
        <v>20.568801145224132</v>
      </c>
      <c r="E17" s="162">
        <v>20.568801145224132</v>
      </c>
      <c r="F17" s="162">
        <v>20.568801145224132</v>
      </c>
      <c r="G17" s="162">
        <v>20.568801145224132</v>
      </c>
    </row>
    <row r="18" spans="1:7" ht="15.75">
      <c r="A18" s="155" t="s">
        <v>189</v>
      </c>
      <c r="B18" s="157" t="s">
        <v>190</v>
      </c>
      <c r="C18" s="152" t="s">
        <v>179</v>
      </c>
      <c r="D18" s="160">
        <f>D15*D17/100</f>
        <v>1898.019154504684</v>
      </c>
      <c r="E18" s="160">
        <f>E15*E17/100</f>
        <v>2096.7308598097984</v>
      </c>
      <c r="F18" s="160">
        <f>F15*F17/100</f>
        <v>2199.4706719404785</v>
      </c>
      <c r="G18" s="160">
        <f>G15*G17/100</f>
        <v>2307.244734865562</v>
      </c>
    </row>
    <row r="19" spans="1:7" ht="15.75">
      <c r="A19" s="155" t="s">
        <v>191</v>
      </c>
      <c r="B19" s="157" t="s">
        <v>192</v>
      </c>
      <c r="C19" s="152"/>
      <c r="D19" s="159"/>
      <c r="E19" s="159"/>
      <c r="F19" s="159"/>
      <c r="G19" s="159"/>
    </row>
    <row r="20" spans="1:7" ht="15.75">
      <c r="A20" s="155" t="s">
        <v>193</v>
      </c>
      <c r="B20" s="157" t="s">
        <v>188</v>
      </c>
      <c r="C20" s="152" t="s">
        <v>349</v>
      </c>
      <c r="D20" s="159">
        <v>50</v>
      </c>
      <c r="E20" s="159">
        <v>55</v>
      </c>
      <c r="F20" s="159">
        <v>55</v>
      </c>
      <c r="G20" s="159">
        <v>55</v>
      </c>
    </row>
    <row r="21" spans="1:7" ht="15.75">
      <c r="A21" s="155" t="s">
        <v>194</v>
      </c>
      <c r="B21" s="157" t="s">
        <v>190</v>
      </c>
      <c r="C21" s="152" t="s">
        <v>179</v>
      </c>
      <c r="D21" s="159">
        <f>ROUND((D15+D18)*D20/100,0)</f>
        <v>5563</v>
      </c>
      <c r="E21" s="159">
        <f>ROUND((E15+E18)*E20/100,0)</f>
        <v>6760</v>
      </c>
      <c r="F21" s="159">
        <f>ROUND((F15+F18)*F20/100,0)</f>
        <v>7091</v>
      </c>
      <c r="G21" s="159">
        <f>ROUND((G15+G18)*G20/100,0)</f>
        <v>7438</v>
      </c>
    </row>
    <row r="22" spans="1:7" ht="15.75">
      <c r="A22" s="155" t="s">
        <v>195</v>
      </c>
      <c r="B22" s="157" t="s">
        <v>196</v>
      </c>
      <c r="C22" s="152"/>
      <c r="D22" s="159"/>
      <c r="E22" s="159"/>
      <c r="F22" s="159"/>
      <c r="G22" s="159"/>
    </row>
    <row r="23" spans="1:7" ht="15.75">
      <c r="A23" s="155" t="s">
        <v>197</v>
      </c>
      <c r="B23" s="157" t="s">
        <v>188</v>
      </c>
      <c r="C23" s="152" t="s">
        <v>349</v>
      </c>
      <c r="D23" s="160">
        <v>3.6764582017408745</v>
      </c>
      <c r="E23" s="160">
        <v>5</v>
      </c>
      <c r="F23" s="160">
        <v>6</v>
      </c>
      <c r="G23" s="160">
        <v>7</v>
      </c>
    </row>
    <row r="24" spans="1:7" ht="15.75">
      <c r="A24" s="155" t="s">
        <v>198</v>
      </c>
      <c r="B24" s="157" t="s">
        <v>190</v>
      </c>
      <c r="C24" s="152" t="s">
        <v>179</v>
      </c>
      <c r="D24" s="159">
        <f>ROUND((D15+D18)*D23/100,0)</f>
        <v>409</v>
      </c>
      <c r="E24" s="159">
        <f>ROUND((E15+E18)*E23/100,0)</f>
        <v>615</v>
      </c>
      <c r="F24" s="159">
        <f>ROUND((F15+F18)*F23/100,0)</f>
        <v>774</v>
      </c>
      <c r="G24" s="159">
        <f>ROUND((G15+G18)*G23/100,0)</f>
        <v>947</v>
      </c>
    </row>
    <row r="25" spans="1:7" ht="15.75">
      <c r="A25" s="155" t="s">
        <v>199</v>
      </c>
      <c r="B25" s="165" t="s">
        <v>200</v>
      </c>
      <c r="C25" s="152" t="s">
        <v>179</v>
      </c>
      <c r="D25" s="159"/>
      <c r="E25" s="159"/>
      <c r="F25" s="159"/>
      <c r="G25" s="159"/>
    </row>
    <row r="26" spans="1:7" ht="15.75">
      <c r="A26" s="155" t="s">
        <v>201</v>
      </c>
      <c r="B26" s="157" t="s">
        <v>188</v>
      </c>
      <c r="C26" s="152" t="s">
        <v>349</v>
      </c>
      <c r="D26" s="162"/>
      <c r="E26" s="162"/>
      <c r="F26" s="162"/>
      <c r="G26" s="162"/>
    </row>
    <row r="27" spans="1:7" ht="15.75">
      <c r="A27" s="155" t="s">
        <v>202</v>
      </c>
      <c r="B27" s="157" t="s">
        <v>190</v>
      </c>
      <c r="C27" s="152" t="s">
        <v>179</v>
      </c>
      <c r="D27" s="160"/>
      <c r="E27" s="160"/>
      <c r="F27" s="160"/>
      <c r="G27" s="160"/>
    </row>
    <row r="28" spans="1:7" ht="31.5">
      <c r="A28" s="155" t="s">
        <v>203</v>
      </c>
      <c r="B28" s="157" t="s">
        <v>204</v>
      </c>
      <c r="C28" s="152"/>
      <c r="D28" s="159"/>
      <c r="E28" s="159"/>
      <c r="F28" s="159"/>
      <c r="G28" s="159"/>
    </row>
    <row r="29" spans="1:7" ht="15.75">
      <c r="A29" s="155" t="s">
        <v>205</v>
      </c>
      <c r="B29" s="157" t="s">
        <v>188</v>
      </c>
      <c r="C29" s="152" t="s">
        <v>349</v>
      </c>
      <c r="D29" s="160">
        <v>173.37154603372622</v>
      </c>
      <c r="E29" s="160">
        <v>173.37154603372622</v>
      </c>
      <c r="F29" s="160">
        <v>173.37154603372622</v>
      </c>
      <c r="G29" s="160">
        <v>173.37154603372622</v>
      </c>
    </row>
    <row r="30" spans="1:7" ht="15.75">
      <c r="A30" s="155" t="s">
        <v>206</v>
      </c>
      <c r="B30" s="157" t="s">
        <v>190</v>
      </c>
      <c r="C30" s="152" t="s">
        <v>179</v>
      </c>
      <c r="D30" s="160">
        <f>(D15+D18+D21+D24)*D29/100</f>
        <v>29642.51168695523</v>
      </c>
      <c r="E30" s="160">
        <f>(E15+E18+E21+E24)*E29/100</f>
        <v>34094.33718567618</v>
      </c>
      <c r="F30" s="160">
        <f>(F15+F18+F21+F24)*F29/100</f>
        <v>35987.95885886019</v>
      </c>
      <c r="G30" s="160">
        <f>(G15+G18+G21+G24)*G29/100</f>
        <v>37984.752949637645</v>
      </c>
    </row>
    <row r="31" spans="1:7" ht="15.75">
      <c r="A31" s="155" t="s">
        <v>207</v>
      </c>
      <c r="B31" s="157" t="s">
        <v>208</v>
      </c>
      <c r="C31" s="152" t="s">
        <v>179</v>
      </c>
      <c r="D31" s="160">
        <f>D15+D18+D21+D24+D30+D27</f>
        <v>46740.191418777446</v>
      </c>
      <c r="E31" s="160">
        <f>E15+E18+E21+E24+E30+E27</f>
        <v>53759.81169153527</v>
      </c>
      <c r="F31" s="160">
        <f>F15+F18+F21+F24+F30+F27</f>
        <v>56745.66661550637</v>
      </c>
      <c r="G31" s="160">
        <f>G15+G18+G21+G24+G30+G27</f>
        <v>59894.20338635949</v>
      </c>
    </row>
    <row r="32" spans="1:7" ht="15.75">
      <c r="A32" s="155"/>
      <c r="B32" s="157"/>
      <c r="C32" s="152"/>
      <c r="D32" s="155"/>
      <c r="E32" s="155"/>
      <c r="F32" s="155"/>
      <c r="G32" s="155"/>
    </row>
    <row r="33" spans="1:7" ht="15.75">
      <c r="A33" s="155"/>
      <c r="B33" s="157" t="s">
        <v>209</v>
      </c>
      <c r="C33" s="152" t="s">
        <v>210</v>
      </c>
      <c r="D33" s="155"/>
      <c r="E33" s="155"/>
      <c r="F33" s="155"/>
      <c r="G33" s="155"/>
    </row>
    <row r="34" spans="1:7" ht="15.75">
      <c r="A34" s="155"/>
      <c r="B34" s="157" t="s">
        <v>211</v>
      </c>
      <c r="C34" s="152" t="s">
        <v>210</v>
      </c>
      <c r="D34" s="155"/>
      <c r="E34" s="155"/>
      <c r="F34" s="155"/>
      <c r="G34" s="155"/>
    </row>
    <row r="35" spans="1:7" ht="15.75">
      <c r="A35" s="155"/>
      <c r="B35" s="157" t="s">
        <v>212</v>
      </c>
      <c r="C35" s="152" t="s">
        <v>210</v>
      </c>
      <c r="D35" s="155"/>
      <c r="E35" s="155"/>
      <c r="F35" s="155"/>
      <c r="G35" s="155"/>
    </row>
    <row r="36" spans="1:7" ht="15.75">
      <c r="A36" s="155"/>
      <c r="B36" s="157" t="s">
        <v>213</v>
      </c>
      <c r="C36" s="152" t="s">
        <v>210</v>
      </c>
      <c r="D36" s="166"/>
      <c r="E36" s="166"/>
      <c r="F36" s="166"/>
      <c r="G36" s="166"/>
    </row>
    <row r="37" spans="1:7" ht="15.75">
      <c r="A37" s="155"/>
      <c r="B37" s="157"/>
      <c r="C37" s="152"/>
      <c r="D37" s="155"/>
      <c r="E37" s="155"/>
      <c r="F37" s="155"/>
      <c r="G37" s="155"/>
    </row>
    <row r="38" spans="1:7" ht="26.25">
      <c r="A38" s="155" t="s">
        <v>297</v>
      </c>
      <c r="B38" s="158" t="s">
        <v>214</v>
      </c>
      <c r="C38" s="152"/>
      <c r="D38" s="185">
        <f>D39+D41</f>
        <v>143502.7742339793</v>
      </c>
      <c r="E38" s="185">
        <f>E39+E41</f>
        <v>164813.93838338566</v>
      </c>
      <c r="F38" s="185">
        <f>F39+F41</f>
        <v>173950.56493792025</v>
      </c>
      <c r="G38" s="185">
        <f>G39+G41</f>
        <v>183584.2844755066</v>
      </c>
    </row>
    <row r="39" spans="1:7" ht="15.75">
      <c r="A39" s="155" t="s">
        <v>365</v>
      </c>
      <c r="B39" s="157" t="s">
        <v>215</v>
      </c>
      <c r="C39" s="152" t="s">
        <v>210</v>
      </c>
      <c r="D39" s="186">
        <v>2501.7720839793</v>
      </c>
      <c r="E39" s="186">
        <f>D39*1.054</f>
        <v>2636.8677765141824</v>
      </c>
      <c r="F39" s="186">
        <f>E39*F$11</f>
        <v>2766.074297563377</v>
      </c>
      <c r="G39" s="186">
        <f>F39*G$11</f>
        <v>2901.6119381439826</v>
      </c>
    </row>
    <row r="40" spans="1:7" ht="15.75">
      <c r="A40" s="155" t="s">
        <v>366</v>
      </c>
      <c r="B40" s="157" t="s">
        <v>216</v>
      </c>
      <c r="C40" s="152" t="s">
        <v>217</v>
      </c>
      <c r="D40" s="187"/>
      <c r="E40" s="187"/>
      <c r="F40" s="187"/>
      <c r="G40" s="187"/>
    </row>
    <row r="41" spans="1:7" ht="15.75">
      <c r="A41" s="155" t="s">
        <v>367</v>
      </c>
      <c r="B41" s="157" t="s">
        <v>218</v>
      </c>
      <c r="C41" s="152" t="s">
        <v>217</v>
      </c>
      <c r="D41" s="188">
        <f>D31*12*D8/1000</f>
        <v>141001.00215</v>
      </c>
      <c r="E41" s="188">
        <f>E31*12*E8/1000</f>
        <v>162177.07060687148</v>
      </c>
      <c r="F41" s="188">
        <f>F31*12*F8/1000</f>
        <v>171184.49064035687</v>
      </c>
      <c r="G41" s="188">
        <f>G31*12*G8/1000</f>
        <v>180682.6725373626</v>
      </c>
    </row>
    <row r="42" spans="1:7" ht="26.25">
      <c r="A42" s="155" t="s">
        <v>299</v>
      </c>
      <c r="B42" s="158" t="s">
        <v>219</v>
      </c>
      <c r="C42" s="152"/>
      <c r="D42" s="189"/>
      <c r="E42" s="189"/>
      <c r="F42" s="189"/>
      <c r="G42" s="189"/>
    </row>
    <row r="43" spans="1:7" ht="31.5">
      <c r="A43" s="155" t="s">
        <v>245</v>
      </c>
      <c r="B43" s="157" t="s">
        <v>220</v>
      </c>
      <c r="C43" s="152" t="s">
        <v>176</v>
      </c>
      <c r="D43" s="189"/>
      <c r="E43" s="189"/>
      <c r="F43" s="189"/>
      <c r="G43" s="189"/>
    </row>
    <row r="44" spans="1:7" ht="15.75">
      <c r="A44" s="155" t="s">
        <v>246</v>
      </c>
      <c r="B44" s="157" t="s">
        <v>221</v>
      </c>
      <c r="C44" s="152" t="s">
        <v>179</v>
      </c>
      <c r="D44" s="189"/>
      <c r="E44" s="189"/>
      <c r="F44" s="189"/>
      <c r="G44" s="189"/>
    </row>
    <row r="45" spans="1:7" ht="15.75">
      <c r="A45" s="155" t="s">
        <v>247</v>
      </c>
      <c r="B45" s="157" t="s">
        <v>215</v>
      </c>
      <c r="C45" s="152" t="s">
        <v>210</v>
      </c>
      <c r="D45" s="189"/>
      <c r="E45" s="189"/>
      <c r="F45" s="189"/>
      <c r="G45" s="189"/>
    </row>
    <row r="46" spans="1:7" ht="15.75">
      <c r="A46" s="155" t="s">
        <v>304</v>
      </c>
      <c r="B46" s="157" t="s">
        <v>222</v>
      </c>
      <c r="C46" s="152" t="s">
        <v>210</v>
      </c>
      <c r="D46" s="190"/>
      <c r="E46" s="190"/>
      <c r="F46" s="190"/>
      <c r="G46" s="190"/>
    </row>
    <row r="47" spans="1:7" ht="31.5">
      <c r="A47" s="155" t="s">
        <v>305</v>
      </c>
      <c r="B47" s="157" t="s">
        <v>223</v>
      </c>
      <c r="C47" s="152" t="s">
        <v>210</v>
      </c>
      <c r="D47" s="191"/>
      <c r="E47" s="191"/>
      <c r="F47" s="191"/>
      <c r="G47" s="191"/>
    </row>
    <row r="48" spans="1:7" ht="15.75">
      <c r="A48" s="155" t="s">
        <v>306</v>
      </c>
      <c r="B48" s="158" t="s">
        <v>224</v>
      </c>
      <c r="C48" s="152"/>
      <c r="D48" s="191"/>
      <c r="E48" s="191"/>
      <c r="F48" s="191"/>
      <c r="G48" s="191"/>
    </row>
    <row r="49" spans="1:7" ht="31.5">
      <c r="A49" s="155" t="s">
        <v>248</v>
      </c>
      <c r="B49" s="157" t="s">
        <v>225</v>
      </c>
      <c r="C49" s="152" t="s">
        <v>176</v>
      </c>
      <c r="D49" s="192">
        <f>D8</f>
        <v>251.391429</v>
      </c>
      <c r="E49" s="192">
        <f>E8</f>
        <v>251.391429</v>
      </c>
      <c r="F49" s="192">
        <f>F8</f>
        <v>251.391429</v>
      </c>
      <c r="G49" s="192">
        <f>G8</f>
        <v>251.391429</v>
      </c>
    </row>
    <row r="50" spans="1:7" ht="15.75">
      <c r="A50" s="155" t="s">
        <v>249</v>
      </c>
      <c r="B50" s="157" t="s">
        <v>226</v>
      </c>
      <c r="C50" s="152" t="s">
        <v>179</v>
      </c>
      <c r="D50" s="192">
        <v>683</v>
      </c>
      <c r="E50" s="192">
        <v>683</v>
      </c>
      <c r="F50" s="192">
        <v>683</v>
      </c>
      <c r="G50" s="192">
        <v>683</v>
      </c>
    </row>
    <row r="51" spans="1:7" ht="18" customHeight="1">
      <c r="A51" s="155" t="s">
        <v>308</v>
      </c>
      <c r="B51" s="157" t="s">
        <v>227</v>
      </c>
      <c r="C51" s="152" t="s">
        <v>210</v>
      </c>
      <c r="D51" s="193">
        <f>D49*D50*12/1000</f>
        <v>2060.404152084</v>
      </c>
      <c r="E51" s="186">
        <f>D51*1.054</f>
        <v>2171.665976296536</v>
      </c>
      <c r="F51" s="186">
        <f>E51*F$11</f>
        <v>2278.0776091350663</v>
      </c>
      <c r="G51" s="186">
        <f>F51*G$11</f>
        <v>2389.7034119826844</v>
      </c>
    </row>
    <row r="52" spans="1:7" ht="15.75">
      <c r="A52" s="167" t="s">
        <v>228</v>
      </c>
      <c r="B52" s="158" t="s">
        <v>229</v>
      </c>
      <c r="C52" s="152" t="s">
        <v>210</v>
      </c>
      <c r="D52" s="194">
        <f>D51+D38</f>
        <v>145563.1783860633</v>
      </c>
      <c r="E52" s="194">
        <f>E51+E38</f>
        <v>166985.60435968218</v>
      </c>
      <c r="F52" s="194">
        <f>F51+F38</f>
        <v>176228.64254705532</v>
      </c>
      <c r="G52" s="194">
        <f>G51+G38</f>
        <v>185973.9878874893</v>
      </c>
    </row>
    <row r="53" spans="1:7" ht="20.25" customHeight="1">
      <c r="A53" s="167" t="s">
        <v>167</v>
      </c>
      <c r="B53" s="158" t="s">
        <v>230</v>
      </c>
      <c r="C53" s="152" t="s">
        <v>179</v>
      </c>
      <c r="D53" s="192">
        <f>ROUND(D52/D49/12*1000,0)</f>
        <v>48252</v>
      </c>
      <c r="E53" s="192">
        <f>ROUND(E52/E49/12*1000,0)</f>
        <v>55354</v>
      </c>
      <c r="F53" s="192">
        <f>ROUND(F52/F49/12*1000,0)</f>
        <v>58418</v>
      </c>
      <c r="G53" s="192">
        <f>ROUND(G52/G49/12*1000,0)</f>
        <v>61648</v>
      </c>
    </row>
    <row r="54" spans="2:7" ht="28.5" customHeight="1">
      <c r="B54" s="182" t="s">
        <v>234</v>
      </c>
      <c r="C54" s="183"/>
      <c r="D54" s="184"/>
      <c r="E54" s="184">
        <f>E41/D41%</f>
        <v>115.01838152493691</v>
      </c>
      <c r="F54" s="184">
        <f>F41/E41%</f>
        <v>105.55406507207175</v>
      </c>
      <c r="G54" s="184">
        <f>G41/F41%</f>
        <v>105.54850609507642</v>
      </c>
    </row>
    <row r="55" spans="1:7" s="170" customFormat="1" ht="15.75" hidden="1">
      <c r="A55" s="168"/>
      <c r="B55" s="168"/>
      <c r="C55" s="168"/>
      <c r="D55" s="169"/>
      <c r="E55" s="169"/>
      <c r="F55" s="169"/>
      <c r="G55" s="169"/>
    </row>
    <row r="56" spans="1:7" s="170" customFormat="1" ht="15.75">
      <c r="A56" s="168"/>
      <c r="B56" s="168"/>
      <c r="C56" s="168"/>
      <c r="D56" s="169"/>
      <c r="E56" s="169"/>
      <c r="F56" s="169"/>
      <c r="G56" s="169"/>
    </row>
    <row r="57" spans="1:7" s="170" customFormat="1" ht="15.75">
      <c r="A57" s="168"/>
      <c r="B57" s="168"/>
      <c r="C57" s="168"/>
      <c r="D57" s="169"/>
      <c r="E57" s="169"/>
      <c r="F57" s="169"/>
      <c r="G57" s="169"/>
    </row>
    <row r="58" spans="2:7" ht="15.75">
      <c r="B58" s="171"/>
      <c r="C58" s="171"/>
      <c r="D58" s="173"/>
      <c r="E58" s="173"/>
      <c r="F58" s="173"/>
      <c r="G58" s="173"/>
    </row>
    <row r="59" spans="2:3" s="174" customFormat="1" ht="12.75">
      <c r="B59" s="175"/>
      <c r="C59" s="176"/>
    </row>
    <row r="60" spans="2:3" ht="15.75">
      <c r="B60" s="177"/>
      <c r="C60" s="150"/>
    </row>
    <row r="61" spans="2:7" ht="15.75">
      <c r="B61" s="177"/>
      <c r="C61" s="150"/>
      <c r="D61" s="172"/>
      <c r="E61" s="172"/>
      <c r="F61" s="172"/>
      <c r="G61" s="172"/>
    </row>
    <row r="62" spans="2:3" ht="15.75">
      <c r="B62" s="177"/>
      <c r="C62" s="150"/>
    </row>
    <row r="63" spans="2:3" ht="15.75">
      <c r="B63" s="177"/>
      <c r="C63" s="150"/>
    </row>
    <row r="64" spans="2:3" ht="15.75">
      <c r="B64" s="177"/>
      <c r="C64" s="150"/>
    </row>
    <row r="65" spans="2:7" ht="15.75">
      <c r="B65" s="177"/>
      <c r="C65" s="150"/>
      <c r="D65" s="178"/>
      <c r="E65" s="178"/>
      <c r="F65" s="178"/>
      <c r="G65" s="178"/>
    </row>
    <row r="66" spans="2:7" ht="15.75">
      <c r="B66" s="177"/>
      <c r="C66" s="150"/>
      <c r="D66" s="179"/>
      <c r="E66" s="179"/>
      <c r="F66" s="179"/>
      <c r="G66" s="179"/>
    </row>
    <row r="67" spans="2:7" ht="15.75">
      <c r="B67" s="177"/>
      <c r="C67" s="150"/>
      <c r="D67" s="180"/>
      <c r="E67" s="180"/>
      <c r="F67" s="180"/>
      <c r="G67" s="180"/>
    </row>
    <row r="68" spans="2:3" ht="15.75">
      <c r="B68" s="177"/>
      <c r="C68" s="150"/>
    </row>
    <row r="69" spans="2:3" ht="15.75">
      <c r="B69" s="177"/>
      <c r="C69" s="150"/>
    </row>
    <row r="70" spans="2:3" ht="15.75">
      <c r="B70" s="177"/>
      <c r="C70" s="150"/>
    </row>
    <row r="71" spans="2:7" ht="15.75">
      <c r="B71" s="177"/>
      <c r="C71" s="150"/>
      <c r="D71" s="180"/>
      <c r="E71" s="180"/>
      <c r="F71" s="180"/>
      <c r="G71" s="180"/>
    </row>
    <row r="72" spans="2:3" ht="15.75">
      <c r="B72" s="177"/>
      <c r="C72" s="150"/>
    </row>
    <row r="73" spans="2:3" ht="15.75">
      <c r="B73" s="177"/>
      <c r="C73" s="150"/>
    </row>
    <row r="74" spans="2:3" ht="15.75">
      <c r="B74" s="177"/>
      <c r="C74" s="150"/>
    </row>
    <row r="75" spans="2:3" ht="15.75">
      <c r="B75" s="177"/>
      <c r="C75" s="150"/>
    </row>
    <row r="76" spans="2:3" ht="15.75">
      <c r="B76" s="177"/>
      <c r="C76" s="150"/>
    </row>
    <row r="77" spans="2:3" ht="15.75">
      <c r="B77" s="177"/>
      <c r="C77" s="150"/>
    </row>
    <row r="78" spans="2:3" ht="15.75">
      <c r="B78" s="177"/>
      <c r="C78" s="150"/>
    </row>
    <row r="79" spans="2:3" ht="15.75">
      <c r="B79" s="177"/>
      <c r="C79" s="150"/>
    </row>
    <row r="80" spans="2:3" ht="15.75">
      <c r="B80" s="177"/>
      <c r="C80" s="150"/>
    </row>
    <row r="81" spans="2:3" ht="15.75">
      <c r="B81" s="177"/>
      <c r="C81" s="150"/>
    </row>
    <row r="82" spans="2:3" ht="15.75">
      <c r="B82" s="177"/>
      <c r="C82" s="150"/>
    </row>
    <row r="83" spans="2:3" ht="15.75">
      <c r="B83" s="177"/>
      <c r="C83" s="150"/>
    </row>
    <row r="84" spans="2:3" ht="15.75">
      <c r="B84" s="177"/>
      <c r="C84" s="150"/>
    </row>
    <row r="85" spans="2:3" ht="15.75">
      <c r="B85" s="177"/>
      <c r="C85" s="150"/>
    </row>
    <row r="86" spans="2:3" ht="15.75">
      <c r="B86" s="177"/>
      <c r="C86" s="150"/>
    </row>
    <row r="87" spans="2:3" ht="15.75">
      <c r="B87" s="177"/>
      <c r="C87" s="150"/>
    </row>
    <row r="88" spans="2:3" ht="15.75">
      <c r="B88" s="177"/>
      <c r="C88" s="150"/>
    </row>
    <row r="89" spans="2:3" ht="15.75">
      <c r="B89" s="177"/>
      <c r="C89" s="150"/>
    </row>
    <row r="90" spans="2:3" ht="15.75">
      <c r="B90" s="177"/>
      <c r="C90" s="150"/>
    </row>
    <row r="91" spans="2:3" ht="15.75">
      <c r="B91" s="177"/>
      <c r="C91" s="150"/>
    </row>
    <row r="92" spans="2:3" ht="15.75">
      <c r="B92" s="177"/>
      <c r="C92" s="150"/>
    </row>
    <row r="93" spans="2:3" ht="15.75">
      <c r="B93" s="177"/>
      <c r="C93" s="150"/>
    </row>
    <row r="94" spans="2:3" ht="15.75">
      <c r="B94" s="177"/>
      <c r="C94" s="150"/>
    </row>
    <row r="95" spans="2:3" ht="15.75">
      <c r="B95" s="177"/>
      <c r="C95" s="150"/>
    </row>
    <row r="96" spans="2:3" ht="15.75">
      <c r="B96" s="177"/>
      <c r="C96" s="150"/>
    </row>
    <row r="97" spans="2:3" ht="15.75">
      <c r="B97" s="177"/>
      <c r="C97" s="150"/>
    </row>
    <row r="98" spans="2:3" ht="15.75">
      <c r="B98" s="177"/>
      <c r="C98" s="150"/>
    </row>
    <row r="99" spans="2:3" ht="15.75">
      <c r="B99" s="177"/>
      <c r="C99" s="150"/>
    </row>
    <row r="100" spans="2:3" ht="15.75">
      <c r="B100" s="177"/>
      <c r="C100" s="150"/>
    </row>
    <row r="101" spans="2:3" ht="15.75">
      <c r="B101" s="177"/>
      <c r="C101" s="150"/>
    </row>
    <row r="102" spans="2:3" ht="15.75">
      <c r="B102" s="177"/>
      <c r="C102" s="150"/>
    </row>
    <row r="103" spans="2:3" ht="15.75">
      <c r="B103" s="177"/>
      <c r="C103" s="150"/>
    </row>
    <row r="104" spans="2:3" ht="15.75">
      <c r="B104" s="177"/>
      <c r="C104" s="150"/>
    </row>
    <row r="105" spans="2:3" ht="15.75">
      <c r="B105" s="177"/>
      <c r="C105" s="150"/>
    </row>
    <row r="106" spans="2:3" ht="15.75">
      <c r="B106" s="177"/>
      <c r="C106" s="150"/>
    </row>
    <row r="107" spans="2:3" ht="15.75">
      <c r="B107" s="177"/>
      <c r="C107" s="150"/>
    </row>
    <row r="108" spans="2:3" ht="15.75">
      <c r="B108" s="177"/>
      <c r="C108" s="150"/>
    </row>
    <row r="109" spans="2:3" ht="15.75">
      <c r="B109" s="177"/>
      <c r="C109" s="150"/>
    </row>
    <row r="110" spans="2:3" ht="15.75">
      <c r="B110" s="177"/>
      <c r="C110" s="150"/>
    </row>
    <row r="111" spans="2:3" ht="15.75">
      <c r="B111" s="177"/>
      <c r="C111" s="150"/>
    </row>
    <row r="112" spans="2:3" ht="15.75">
      <c r="B112" s="177"/>
      <c r="C112" s="150"/>
    </row>
    <row r="113" spans="2:3" ht="15.75">
      <c r="B113" s="177"/>
      <c r="C113" s="150"/>
    </row>
    <row r="114" spans="2:3" ht="15.75">
      <c r="B114" s="177"/>
      <c r="C114" s="150"/>
    </row>
    <row r="115" spans="2:3" ht="15.75">
      <c r="B115" s="177"/>
      <c r="C115" s="150"/>
    </row>
    <row r="116" spans="2:3" ht="15.75">
      <c r="B116" s="177"/>
      <c r="C116" s="150"/>
    </row>
    <row r="117" ht="15.75">
      <c r="C117" s="150"/>
    </row>
    <row r="118" ht="15.75">
      <c r="C118" s="150"/>
    </row>
    <row r="119" ht="15.75">
      <c r="C119" s="150"/>
    </row>
    <row r="120" ht="15.75">
      <c r="C120" s="150"/>
    </row>
    <row r="121" ht="15.75">
      <c r="C121" s="150"/>
    </row>
    <row r="122" ht="15.75">
      <c r="C122" s="150"/>
    </row>
    <row r="123" ht="15.75">
      <c r="C123" s="150"/>
    </row>
    <row r="124" ht="15.75">
      <c r="C124" s="150"/>
    </row>
    <row r="125" ht="15.75">
      <c r="C125" s="150"/>
    </row>
    <row r="126" ht="15.75">
      <c r="C126" s="150"/>
    </row>
    <row r="127" ht="15.75">
      <c r="C127" s="150"/>
    </row>
    <row r="128" ht="15.75">
      <c r="C128" s="150"/>
    </row>
    <row r="129" ht="15.75">
      <c r="C129" s="150"/>
    </row>
    <row r="130" ht="15.75">
      <c r="C130" s="150"/>
    </row>
    <row r="131" ht="15.75">
      <c r="C131" s="150"/>
    </row>
    <row r="132" ht="15.75">
      <c r="C132" s="150"/>
    </row>
    <row r="133" ht="15.75">
      <c r="C133" s="150"/>
    </row>
    <row r="134" ht="15.75">
      <c r="C134" s="150"/>
    </row>
    <row r="135" ht="15.75">
      <c r="C135" s="150"/>
    </row>
    <row r="136" ht="15.75">
      <c r="C136" s="150"/>
    </row>
    <row r="137" ht="15.75">
      <c r="C137" s="150"/>
    </row>
    <row r="138" ht="15.75">
      <c r="C138" s="150"/>
    </row>
    <row r="139" ht="15.75">
      <c r="C139" s="150"/>
    </row>
  </sheetData>
  <sheetProtection/>
  <mergeCells count="2">
    <mergeCell ref="A3:C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2"/>
  <sheetViews>
    <sheetView view="pageBreakPreview" zoomScale="80" zoomScaleSheetLayoutView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D18" sqref="D1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.75">
      <c r="E1" s="147" t="s">
        <v>133</v>
      </c>
    </row>
    <row r="2" ht="15.75">
      <c r="E2" s="147" t="s">
        <v>37</v>
      </c>
    </row>
    <row r="3" ht="15.75">
      <c r="E3" s="147" t="s">
        <v>50</v>
      </c>
    </row>
    <row r="4" ht="15.75">
      <c r="E4" s="147"/>
    </row>
    <row r="5" ht="15.75">
      <c r="E5" s="3" t="s">
        <v>38</v>
      </c>
    </row>
    <row r="6" ht="15.75">
      <c r="E6" s="3" t="s">
        <v>235</v>
      </c>
    </row>
    <row r="7" ht="15.75">
      <c r="E7" s="3"/>
    </row>
    <row r="8" ht="15.75">
      <c r="E8" s="3" t="s">
        <v>368</v>
      </c>
    </row>
    <row r="9" ht="15.75">
      <c r="E9" s="3" t="s">
        <v>369</v>
      </c>
    </row>
    <row r="10" ht="15.75">
      <c r="E10" s="3" t="s">
        <v>42</v>
      </c>
    </row>
    <row r="11" spans="1:7" ht="31.5" customHeight="1">
      <c r="A11" s="754" t="s">
        <v>154</v>
      </c>
      <c r="B11" s="735"/>
      <c r="C11" s="735"/>
      <c r="D11" s="735"/>
      <c r="E11" s="735"/>
      <c r="F11" s="770"/>
      <c r="G11" s="770"/>
    </row>
    <row r="12" spans="1:7" ht="29.25" customHeight="1">
      <c r="A12" s="775" t="s">
        <v>370</v>
      </c>
      <c r="B12" s="775"/>
      <c r="C12" s="775"/>
      <c r="D12" s="775"/>
      <c r="E12" s="775"/>
      <c r="F12" s="17"/>
      <c r="G12" s="17"/>
    </row>
    <row r="13" spans="1:7" ht="16.5" thickBot="1">
      <c r="A13" s="14"/>
      <c r="E13" s="3"/>
      <c r="F13" s="17"/>
      <c r="G13" s="17"/>
    </row>
    <row r="14" spans="1:5" ht="32.25" customHeight="1">
      <c r="A14" s="736" t="s">
        <v>251</v>
      </c>
      <c r="B14" s="739" t="s">
        <v>252</v>
      </c>
      <c r="C14" s="771" t="s">
        <v>372</v>
      </c>
      <c r="D14" s="772"/>
      <c r="E14" s="747" t="s">
        <v>253</v>
      </c>
    </row>
    <row r="15" spans="1:5" ht="15.75">
      <c r="A15" s="737"/>
      <c r="B15" s="732"/>
      <c r="C15" s="773"/>
      <c r="D15" s="774"/>
      <c r="E15" s="748"/>
    </row>
    <row r="16" spans="1:5" ht="16.5" thickBot="1">
      <c r="A16" s="738"/>
      <c r="B16" s="740"/>
      <c r="C16" s="62" t="s">
        <v>343</v>
      </c>
      <c r="D16" s="62" t="s">
        <v>356</v>
      </c>
      <c r="E16" s="749"/>
    </row>
    <row r="17" spans="1:7" ht="24" customHeight="1">
      <c r="A17" s="110">
        <v>1</v>
      </c>
      <c r="B17" s="108" t="s">
        <v>262</v>
      </c>
      <c r="C17" s="208">
        <v>41.752</v>
      </c>
      <c r="D17" s="213">
        <f>D30</f>
        <v>0.6845220000000001</v>
      </c>
      <c r="E17" s="766" t="s">
        <v>373</v>
      </c>
      <c r="F17" s="7"/>
      <c r="G17" s="7"/>
    </row>
    <row r="18" spans="1:5" ht="43.5" customHeight="1">
      <c r="A18" s="94" t="s">
        <v>238</v>
      </c>
      <c r="B18" s="4" t="s">
        <v>263</v>
      </c>
      <c r="C18" s="205">
        <v>35.063</v>
      </c>
      <c r="D18" s="214">
        <v>0</v>
      </c>
      <c r="E18" s="767"/>
    </row>
    <row r="19" spans="1:5" ht="48" customHeight="1">
      <c r="A19" s="94" t="s">
        <v>264</v>
      </c>
      <c r="B19" s="4" t="s">
        <v>286</v>
      </c>
      <c r="C19" s="205">
        <f>C18</f>
        <v>35.063</v>
      </c>
      <c r="D19" s="214">
        <v>0</v>
      </c>
      <c r="E19" s="768"/>
    </row>
    <row r="20" spans="1:5" ht="15.75">
      <c r="A20" s="94" t="s">
        <v>280</v>
      </c>
      <c r="B20" s="4" t="s">
        <v>287</v>
      </c>
      <c r="C20" s="205"/>
      <c r="D20" s="214"/>
      <c r="E20" s="9"/>
    </row>
    <row r="21" spans="1:5" ht="47.25">
      <c r="A21" s="94" t="s">
        <v>283</v>
      </c>
      <c r="B21" s="4" t="s">
        <v>335</v>
      </c>
      <c r="C21" s="206"/>
      <c r="D21" s="215"/>
      <c r="E21" s="9"/>
    </row>
    <row r="22" spans="1:5" ht="31.5">
      <c r="A22" s="94" t="s">
        <v>284</v>
      </c>
      <c r="B22" s="4" t="s">
        <v>336</v>
      </c>
      <c r="C22" s="206"/>
      <c r="D22" s="215"/>
      <c r="E22" s="9"/>
    </row>
    <row r="23" spans="1:5" ht="31.5">
      <c r="A23" s="94" t="s">
        <v>285</v>
      </c>
      <c r="B23" s="4" t="s">
        <v>337</v>
      </c>
      <c r="C23" s="205"/>
      <c r="D23" s="214"/>
      <c r="E23" s="9"/>
    </row>
    <row r="24" spans="1:5" ht="15.75">
      <c r="A24" s="94" t="s">
        <v>71</v>
      </c>
      <c r="B24" s="4" t="s">
        <v>56</v>
      </c>
      <c r="C24" s="205"/>
      <c r="D24" s="214"/>
      <c r="E24" s="9"/>
    </row>
    <row r="25" spans="1:5" ht="15.75">
      <c r="A25" s="94" t="s">
        <v>239</v>
      </c>
      <c r="B25" s="4" t="s">
        <v>265</v>
      </c>
      <c r="C25" s="205">
        <v>6.689</v>
      </c>
      <c r="D25" s="214">
        <v>0</v>
      </c>
      <c r="E25" s="9"/>
    </row>
    <row r="26" spans="1:5" ht="15.75">
      <c r="A26" s="94" t="s">
        <v>57</v>
      </c>
      <c r="B26" s="4" t="s">
        <v>60</v>
      </c>
      <c r="C26" s="205">
        <v>6.689</v>
      </c>
      <c r="D26" s="214">
        <v>0</v>
      </c>
      <c r="E26" s="9"/>
    </row>
    <row r="27" spans="1:5" ht="15.75">
      <c r="A27" s="94" t="s">
        <v>58</v>
      </c>
      <c r="B27" s="4" t="s">
        <v>61</v>
      </c>
      <c r="C27" s="205"/>
      <c r="D27" s="214"/>
      <c r="E27" s="9"/>
    </row>
    <row r="28" spans="1:5" ht="31.5">
      <c r="A28" s="94" t="s">
        <v>59</v>
      </c>
      <c r="B28" s="4" t="s">
        <v>62</v>
      </c>
      <c r="C28" s="205"/>
      <c r="D28" s="214"/>
      <c r="E28" s="9"/>
    </row>
    <row r="29" spans="1:5" ht="15.75">
      <c r="A29" s="94" t="s">
        <v>250</v>
      </c>
      <c r="B29" s="4" t="s">
        <v>266</v>
      </c>
      <c r="C29" s="205"/>
      <c r="D29" s="214"/>
      <c r="E29" s="9"/>
    </row>
    <row r="30" spans="1:5" ht="15.75">
      <c r="A30" s="94" t="s">
        <v>267</v>
      </c>
      <c r="B30" s="4" t="s">
        <v>268</v>
      </c>
      <c r="C30" s="205"/>
      <c r="D30" s="196">
        <v>0.6845220000000001</v>
      </c>
      <c r="E30" s="9"/>
    </row>
    <row r="31" spans="1:5" ht="15.75">
      <c r="A31" s="94" t="s">
        <v>269</v>
      </c>
      <c r="B31" s="4" t="s">
        <v>338</v>
      </c>
      <c r="C31" s="205"/>
      <c r="D31" s="214"/>
      <c r="E31" s="9"/>
    </row>
    <row r="32" spans="1:5" ht="32.25" thickBot="1">
      <c r="A32" s="99" t="s">
        <v>1</v>
      </c>
      <c r="B32" s="100" t="s">
        <v>68</v>
      </c>
      <c r="C32" s="207"/>
      <c r="D32" s="216"/>
      <c r="E32" s="30"/>
    </row>
    <row r="33" spans="1:5" ht="15.75">
      <c r="A33" s="107" t="s">
        <v>240</v>
      </c>
      <c r="B33" s="108" t="s">
        <v>339</v>
      </c>
      <c r="C33" s="209"/>
      <c r="D33" s="217"/>
      <c r="E33" s="109"/>
    </row>
    <row r="34" spans="1:5" ht="15.75">
      <c r="A34" s="94" t="s">
        <v>241</v>
      </c>
      <c r="B34" s="4" t="s">
        <v>344</v>
      </c>
      <c r="C34" s="205"/>
      <c r="D34" s="214"/>
      <c r="E34" s="9"/>
    </row>
    <row r="35" spans="1:5" ht="15.75">
      <c r="A35" s="94" t="s">
        <v>242</v>
      </c>
      <c r="B35" s="4" t="s">
        <v>340</v>
      </c>
      <c r="C35" s="205"/>
      <c r="D35" s="214"/>
      <c r="E35" s="9"/>
    </row>
    <row r="36" spans="1:5" ht="21.75" customHeight="1">
      <c r="A36" s="98" t="s">
        <v>243</v>
      </c>
      <c r="B36" s="4" t="s">
        <v>341</v>
      </c>
      <c r="C36" s="210"/>
      <c r="D36" s="218"/>
      <c r="E36" s="92"/>
    </row>
    <row r="37" spans="1:5" ht="15.75">
      <c r="A37" s="98" t="s">
        <v>244</v>
      </c>
      <c r="B37" s="4" t="s">
        <v>270</v>
      </c>
      <c r="C37" s="210"/>
      <c r="D37" s="218"/>
      <c r="E37" s="92"/>
    </row>
    <row r="38" spans="1:5" ht="15.75">
      <c r="A38" s="94" t="s">
        <v>289</v>
      </c>
      <c r="B38" s="4" t="s">
        <v>282</v>
      </c>
      <c r="C38" s="210"/>
      <c r="D38" s="218"/>
      <c r="E38" s="92"/>
    </row>
    <row r="39" spans="1:5" ht="15.75">
      <c r="A39" s="94" t="s">
        <v>334</v>
      </c>
      <c r="B39" s="4" t="s">
        <v>64</v>
      </c>
      <c r="C39" s="210"/>
      <c r="D39" s="218"/>
      <c r="E39" s="92"/>
    </row>
    <row r="40" spans="1:5" ht="16.5" thickBot="1">
      <c r="A40" s="99" t="s">
        <v>63</v>
      </c>
      <c r="B40" s="100" t="s">
        <v>271</v>
      </c>
      <c r="C40" s="211"/>
      <c r="D40" s="219"/>
      <c r="E40" s="93"/>
    </row>
    <row r="41" spans="1:5" ht="31.5">
      <c r="A41" s="104"/>
      <c r="B41" s="105" t="s">
        <v>261</v>
      </c>
      <c r="C41" s="212">
        <v>41.752</v>
      </c>
      <c r="D41" s="220">
        <f>D30</f>
        <v>0.6845220000000001</v>
      </c>
      <c r="E41" s="106"/>
    </row>
    <row r="42" spans="1:5" ht="15.75">
      <c r="A42" s="8"/>
      <c r="B42" s="4" t="s">
        <v>52</v>
      </c>
      <c r="C42" s="210"/>
      <c r="D42" s="218"/>
      <c r="E42" s="92"/>
    </row>
    <row r="43" spans="1:5" ht="15.75">
      <c r="A43" s="8"/>
      <c r="B43" s="90" t="s">
        <v>53</v>
      </c>
      <c r="C43" s="210"/>
      <c r="D43" s="218"/>
      <c r="E43" s="92"/>
    </row>
    <row r="44" spans="1:5" ht="16.5" thickBot="1">
      <c r="A44" s="67"/>
      <c r="B44" s="91" t="s">
        <v>54</v>
      </c>
      <c r="C44" s="211"/>
      <c r="D44" s="219"/>
      <c r="E44" s="93"/>
    </row>
    <row r="45" spans="1:5" ht="15.75">
      <c r="A45" s="12"/>
      <c r="B45" s="97"/>
      <c r="C45" s="31"/>
      <c r="D45" s="31"/>
      <c r="E45" s="11"/>
    </row>
    <row r="46" spans="1:4" ht="15.75">
      <c r="A46" s="12" t="s">
        <v>342</v>
      </c>
      <c r="C46" s="26"/>
      <c r="D46" s="26"/>
    </row>
    <row r="47" spans="1:4" ht="15.75">
      <c r="A47" s="12" t="s">
        <v>357</v>
      </c>
      <c r="C47" s="26"/>
      <c r="D47" s="26"/>
    </row>
    <row r="48" spans="1:4" ht="15.75">
      <c r="A48" s="12"/>
      <c r="C48" s="26"/>
      <c r="D48" s="26"/>
    </row>
    <row r="49" spans="1:7" ht="15.75">
      <c r="A49" s="769" t="s">
        <v>375</v>
      </c>
      <c r="B49" s="769"/>
      <c r="C49" s="769"/>
      <c r="D49" s="769"/>
      <c r="E49" s="769"/>
      <c r="F49" s="11"/>
      <c r="G49" s="11"/>
    </row>
    <row r="50" spans="3:4" ht="15.75">
      <c r="C50" s="26"/>
      <c r="D50" s="26"/>
    </row>
    <row r="51" spans="3:4" ht="15.75">
      <c r="C51" s="26"/>
      <c r="D51" s="26"/>
    </row>
    <row r="52" spans="3:4" ht="15.75">
      <c r="C52" s="26"/>
      <c r="D52" s="26"/>
    </row>
    <row r="53" spans="3:4" ht="15.75">
      <c r="C53" s="26"/>
      <c r="D53" s="26"/>
    </row>
    <row r="54" spans="3:4" ht="15.75">
      <c r="C54" s="26"/>
      <c r="D54" s="26"/>
    </row>
    <row r="55" spans="3:4" ht="15.75">
      <c r="C55" s="26"/>
      <c r="D55" s="26"/>
    </row>
    <row r="56" spans="3:4" ht="15.75">
      <c r="C56" s="26"/>
      <c r="D56" s="26"/>
    </row>
    <row r="57" spans="3:4" ht="15.75">
      <c r="C57" s="26"/>
      <c r="D57" s="26"/>
    </row>
    <row r="58" spans="3:4" ht="15.75">
      <c r="C58" s="26"/>
      <c r="D58" s="26"/>
    </row>
    <row r="59" spans="3:4" ht="15.75">
      <c r="C59" s="26"/>
      <c r="D59" s="26"/>
    </row>
    <row r="60" spans="3:4" ht="15.75">
      <c r="C60" s="26"/>
      <c r="D60" s="26"/>
    </row>
    <row r="61" spans="3:4" ht="15.75">
      <c r="C61" s="26"/>
      <c r="D61" s="26"/>
    </row>
    <row r="62" spans="3:4" ht="15.75">
      <c r="C62" s="26"/>
      <c r="D62" s="26"/>
    </row>
    <row r="63" spans="3:4" ht="15.75">
      <c r="C63" s="50"/>
      <c r="D63" s="50"/>
    </row>
    <row r="67" spans="3:4" ht="15.75">
      <c r="C67" s="26"/>
      <c r="D67" s="26"/>
    </row>
    <row r="68" spans="3:4" ht="15.75">
      <c r="C68" s="26"/>
      <c r="D68" s="26"/>
    </row>
    <row r="71" ht="15.75">
      <c r="C71" s="22"/>
    </row>
    <row r="72" ht="15.75">
      <c r="C72" s="14"/>
    </row>
  </sheetData>
  <sheetProtection/>
  <mergeCells count="9">
    <mergeCell ref="E17:E19"/>
    <mergeCell ref="A49:E49"/>
    <mergeCell ref="F11:G11"/>
    <mergeCell ref="A14:A16"/>
    <mergeCell ref="B14:B16"/>
    <mergeCell ref="E14:E16"/>
    <mergeCell ref="C14:D15"/>
    <mergeCell ref="A11:E11"/>
    <mergeCell ref="A12:E12"/>
  </mergeCells>
  <printOptions/>
  <pageMargins left="0.72" right="0.1968503937007874" top="0.53" bottom="0.55" header="0.5118110236220472" footer="0.5118110236220472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"/>
  <sheetViews>
    <sheetView view="pageBreakPreview" zoomScale="87" zoomScaleSheetLayoutView="87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C18" sqref="C18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.75">
      <c r="F1" s="147" t="s">
        <v>134</v>
      </c>
    </row>
    <row r="2" ht="15.75">
      <c r="F2" s="147" t="s">
        <v>37</v>
      </c>
    </row>
    <row r="3" ht="15.75">
      <c r="F3" s="147" t="s">
        <v>50</v>
      </c>
    </row>
    <row r="4" ht="15.75">
      <c r="F4" s="3"/>
    </row>
    <row r="5" ht="26.25" customHeight="1">
      <c r="F5" s="3" t="s">
        <v>38</v>
      </c>
    </row>
    <row r="6" ht="15.75">
      <c r="F6" s="3" t="s">
        <v>235</v>
      </c>
    </row>
    <row r="7" ht="15.75">
      <c r="F7" s="3"/>
    </row>
    <row r="8" ht="15.75">
      <c r="F8" s="3" t="s">
        <v>368</v>
      </c>
    </row>
    <row r="9" ht="15.75">
      <c r="F9" s="3" t="s">
        <v>369</v>
      </c>
    </row>
    <row r="10" ht="15.75">
      <c r="F10" s="3" t="s">
        <v>42</v>
      </c>
    </row>
    <row r="11" spans="1:6" ht="32.25" customHeight="1">
      <c r="A11" s="754" t="s">
        <v>155</v>
      </c>
      <c r="B11" s="735"/>
      <c r="C11" s="735"/>
      <c r="D11" s="735"/>
      <c r="E11" s="735"/>
      <c r="F11" s="735"/>
    </row>
    <row r="12" spans="1:6" ht="30.75" customHeight="1">
      <c r="A12" s="775" t="s">
        <v>370</v>
      </c>
      <c r="B12" s="775"/>
      <c r="C12" s="775"/>
      <c r="D12" s="775"/>
      <c r="E12" s="775"/>
      <c r="F12" s="775"/>
    </row>
    <row r="13" ht="16.5" thickBot="1"/>
    <row r="14" spans="1:6" ht="15.75" customHeight="1">
      <c r="A14" s="782" t="s">
        <v>236</v>
      </c>
      <c r="B14" s="779" t="s">
        <v>290</v>
      </c>
      <c r="C14" s="776" t="s">
        <v>281</v>
      </c>
      <c r="D14" s="778"/>
      <c r="E14" s="776" t="s">
        <v>345</v>
      </c>
      <c r="F14" s="777"/>
    </row>
    <row r="15" spans="1:6" ht="15.75" customHeight="1">
      <c r="A15" s="783"/>
      <c r="B15" s="780"/>
      <c r="C15" s="13" t="s">
        <v>343</v>
      </c>
      <c r="D15" s="13" t="s">
        <v>260</v>
      </c>
      <c r="E15" s="13" t="s">
        <v>343</v>
      </c>
      <c r="F15" s="133" t="s">
        <v>260</v>
      </c>
    </row>
    <row r="16" spans="1:6" ht="15.75" customHeight="1">
      <c r="A16" s="784"/>
      <c r="B16" s="781"/>
      <c r="C16" s="13" t="s">
        <v>291</v>
      </c>
      <c r="D16" s="13" t="s">
        <v>291</v>
      </c>
      <c r="E16" s="13" t="s">
        <v>291</v>
      </c>
      <c r="F16" s="133" t="s">
        <v>291</v>
      </c>
    </row>
    <row r="17" spans="1:6" ht="15.75">
      <c r="A17" s="136">
        <v>1</v>
      </c>
      <c r="B17" s="135">
        <v>2</v>
      </c>
      <c r="C17" s="137">
        <v>3</v>
      </c>
      <c r="D17" s="137">
        <v>4</v>
      </c>
      <c r="E17" s="137">
        <v>5</v>
      </c>
      <c r="F17" s="138">
        <v>6</v>
      </c>
    </row>
    <row r="18" spans="1:6" ht="48" thickBot="1">
      <c r="A18" s="65"/>
      <c r="B18" s="203" t="s">
        <v>371</v>
      </c>
      <c r="C18" s="204" t="s">
        <v>374</v>
      </c>
      <c r="D18" s="139">
        <v>0</v>
      </c>
      <c r="E18" s="139"/>
      <c r="F18" s="140"/>
    </row>
    <row r="19" spans="1:10" ht="15.75">
      <c r="A19" s="27"/>
      <c r="B19" s="63"/>
      <c r="C19" s="63"/>
      <c r="D19" s="63"/>
      <c r="E19" s="63"/>
      <c r="F19" s="63"/>
      <c r="G19" s="63"/>
      <c r="H19" s="63"/>
      <c r="I19" s="63"/>
      <c r="J19" s="11"/>
    </row>
    <row r="20" ht="15.75">
      <c r="B20" s="1" t="s">
        <v>342</v>
      </c>
    </row>
    <row r="22" ht="15.75">
      <c r="E22" s="11"/>
    </row>
    <row r="23" spans="1:6" ht="15.75">
      <c r="A23" s="763" t="s">
        <v>376</v>
      </c>
      <c r="B23" s="763"/>
      <c r="C23" s="763"/>
      <c r="D23" s="763"/>
      <c r="E23" s="763"/>
      <c r="F23" s="763"/>
    </row>
    <row r="24" ht="15.75">
      <c r="E24" s="11"/>
    </row>
    <row r="25" ht="15.75">
      <c r="A25" s="18"/>
    </row>
    <row r="27" ht="15.75">
      <c r="A27" s="15"/>
    </row>
  </sheetData>
  <sheetProtection/>
  <mergeCells count="7">
    <mergeCell ref="A23:F23"/>
    <mergeCell ref="A11:F11"/>
    <mergeCell ref="E14:F14"/>
    <mergeCell ref="C14:D14"/>
    <mergeCell ref="B14:B16"/>
    <mergeCell ref="A14:A16"/>
    <mergeCell ref="A12:F1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S82"/>
  <sheetViews>
    <sheetView tabSelected="1" view="pageBreakPreview" zoomScale="60" zoomScaleNormal="56" zoomScalePageLayoutView="0" workbookViewId="0" topLeftCell="A1">
      <pane xSplit="2" topLeftCell="R1" activePane="topRight" state="frozen"/>
      <selection pane="topLeft" activeCell="A7" sqref="A7"/>
      <selection pane="topRight" activeCell="AI11" sqref="AI11"/>
    </sheetView>
  </sheetViews>
  <sheetFormatPr defaultColWidth="9.00390625" defaultRowHeight="15.75"/>
  <cols>
    <col min="1" max="1" width="10.875" style="1" bestFit="1" customWidth="1"/>
    <col min="2" max="2" width="37.25390625" style="1" bestFit="1" customWidth="1"/>
    <col min="3" max="3" width="13.375" style="1" customWidth="1"/>
    <col min="4" max="4" width="10.125" style="447" customWidth="1"/>
    <col min="5" max="5" width="10.25390625" style="447" customWidth="1"/>
    <col min="6" max="6" width="9.375" style="447" customWidth="1"/>
    <col min="7" max="7" width="8.50390625" style="447" customWidth="1"/>
    <col min="8" max="8" width="10.00390625" style="447" customWidth="1"/>
    <col min="9" max="12" width="9.375" style="447" customWidth="1"/>
    <col min="13" max="13" width="9.375" style="494" customWidth="1"/>
    <col min="14" max="14" width="10.75390625" style="580" customWidth="1"/>
    <col min="15" max="15" width="11.25390625" style="580" customWidth="1"/>
    <col min="16" max="16" width="9.875" style="580" customWidth="1"/>
    <col min="17" max="17" width="11.00390625" style="580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2.625" style="1" customWidth="1"/>
    <col min="24" max="24" width="9.875" style="1" customWidth="1"/>
    <col min="25" max="27" width="9.00390625" style="132" hidden="1" customWidth="1"/>
    <col min="28" max="29" width="9.00390625" style="1" hidden="1" customWidth="1"/>
    <col min="30" max="30" width="10.375" style="1" hidden="1" customWidth="1"/>
    <col min="31" max="31" width="9.00390625" style="1" hidden="1" customWidth="1"/>
    <col min="32" max="32" width="10.375" style="1" hidden="1" customWidth="1"/>
    <col min="33" max="33" width="9.00390625" style="1" customWidth="1"/>
    <col min="34" max="34" width="15.00390625" style="1" customWidth="1"/>
    <col min="35" max="35" width="9.00390625" style="1" customWidth="1"/>
    <col min="36" max="37" width="10.375" style="1" customWidth="1"/>
    <col min="38" max="38" width="9.00390625" style="1" customWidth="1"/>
    <col min="39" max="40" width="10.375" style="1" bestFit="1" customWidth="1"/>
    <col min="41" max="41" width="9.00390625" style="485" customWidth="1"/>
    <col min="42" max="42" width="9.00390625" style="1" customWidth="1"/>
    <col min="43" max="43" width="11.00390625" style="485" bestFit="1" customWidth="1"/>
    <col min="44" max="44" width="10.375" style="1" bestFit="1" customWidth="1"/>
    <col min="45" max="45" width="9.00390625" style="1" customWidth="1"/>
    <col min="46" max="47" width="10.375" style="1" bestFit="1" customWidth="1"/>
    <col min="48" max="16384" width="9.00390625" style="1" customWidth="1"/>
  </cols>
  <sheetData>
    <row r="1" ht="18.75">
      <c r="W1" s="147" t="s">
        <v>152</v>
      </c>
    </row>
    <row r="2" ht="18.75">
      <c r="W2" s="147" t="s">
        <v>37</v>
      </c>
    </row>
    <row r="3" ht="18.75">
      <c r="W3" s="303" t="s">
        <v>379</v>
      </c>
    </row>
    <row r="4" ht="18.75">
      <c r="W4" s="3"/>
    </row>
    <row r="5" ht="18.75">
      <c r="W5" s="297" t="s">
        <v>38</v>
      </c>
    </row>
    <row r="6" spans="4:43" s="15" customFormat="1" ht="18.75">
      <c r="D6" s="447"/>
      <c r="E6" s="447"/>
      <c r="F6" s="447"/>
      <c r="G6" s="447"/>
      <c r="H6" s="447"/>
      <c r="I6" s="447"/>
      <c r="J6" s="447"/>
      <c r="K6" s="447"/>
      <c r="L6" s="447"/>
      <c r="M6" s="494"/>
      <c r="N6" s="580"/>
      <c r="O6" s="580"/>
      <c r="P6" s="580"/>
      <c r="Q6" s="580"/>
      <c r="S6" s="591"/>
      <c r="W6" s="489" t="s">
        <v>698</v>
      </c>
      <c r="Y6" s="490"/>
      <c r="Z6" s="490"/>
      <c r="AA6" s="490"/>
      <c r="AO6" s="491"/>
      <c r="AQ6" s="491"/>
    </row>
    <row r="7" spans="4:43" s="15" customFormat="1" ht="18.75">
      <c r="D7" s="447"/>
      <c r="E7" s="447"/>
      <c r="F7" s="447"/>
      <c r="G7" s="447"/>
      <c r="H7" s="447"/>
      <c r="I7" s="447"/>
      <c r="J7" s="447"/>
      <c r="K7" s="447"/>
      <c r="L7" s="447"/>
      <c r="M7" s="494"/>
      <c r="N7" s="580"/>
      <c r="O7" s="580"/>
      <c r="P7" s="580"/>
      <c r="Q7" s="580"/>
      <c r="W7" s="489"/>
      <c r="Y7" s="490"/>
      <c r="Z7" s="490"/>
      <c r="AA7" s="490"/>
      <c r="AO7" s="491"/>
      <c r="AQ7" s="491"/>
    </row>
    <row r="8" spans="4:43" s="15" customFormat="1" ht="18.75">
      <c r="D8" s="447"/>
      <c r="E8" s="447"/>
      <c r="F8" s="447"/>
      <c r="G8" s="447"/>
      <c r="H8" s="447"/>
      <c r="I8" s="447"/>
      <c r="J8" s="447"/>
      <c r="K8" s="447"/>
      <c r="L8" s="447"/>
      <c r="M8" s="494"/>
      <c r="N8" s="580"/>
      <c r="O8" s="580"/>
      <c r="P8" s="580"/>
      <c r="Q8" s="580"/>
      <c r="S8" s="492"/>
      <c r="W8" s="489" t="s">
        <v>667</v>
      </c>
      <c r="Y8" s="490"/>
      <c r="Z8" s="490"/>
      <c r="AA8" s="490"/>
      <c r="AO8" s="491"/>
      <c r="AQ8" s="491"/>
    </row>
    <row r="9" spans="1:43" s="15" customFormat="1" ht="18.75">
      <c r="A9" s="493"/>
      <c r="D9" s="447"/>
      <c r="E9" s="447"/>
      <c r="F9" s="447"/>
      <c r="G9" s="447"/>
      <c r="H9" s="447"/>
      <c r="I9" s="447"/>
      <c r="J9" s="447"/>
      <c r="K9" s="447"/>
      <c r="L9" s="447"/>
      <c r="M9" s="494"/>
      <c r="N9" s="580"/>
      <c r="O9" s="580"/>
      <c r="P9" s="580"/>
      <c r="Q9" s="580"/>
      <c r="W9" s="489" t="s">
        <v>748</v>
      </c>
      <c r="Y9" s="490"/>
      <c r="Z9" s="490"/>
      <c r="AA9" s="490"/>
      <c r="AO9" s="491"/>
      <c r="AQ9" s="491"/>
    </row>
    <row r="10" spans="1:43" s="15" customFormat="1" ht="18.75">
      <c r="A10" s="493"/>
      <c r="D10" s="447"/>
      <c r="E10" s="447"/>
      <c r="F10" s="447"/>
      <c r="G10" s="447"/>
      <c r="H10" s="447"/>
      <c r="I10" s="447"/>
      <c r="J10" s="447"/>
      <c r="K10" s="447"/>
      <c r="L10" s="447"/>
      <c r="M10" s="494"/>
      <c r="N10" s="580"/>
      <c r="O10" s="580"/>
      <c r="P10" s="580"/>
      <c r="Q10" s="580"/>
      <c r="W10" s="489" t="s">
        <v>42</v>
      </c>
      <c r="Y10" s="490"/>
      <c r="Z10" s="490"/>
      <c r="AA10" s="490"/>
      <c r="AO10" s="491"/>
      <c r="AQ10" s="491"/>
    </row>
    <row r="11" spans="1:43" s="15" customFormat="1" ht="36" customHeight="1">
      <c r="A11" s="796" t="s">
        <v>156</v>
      </c>
      <c r="B11" s="797"/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Y11" s="490"/>
      <c r="Z11" s="490"/>
      <c r="AA11" s="490"/>
      <c r="AO11" s="491"/>
      <c r="AQ11" s="491"/>
    </row>
    <row r="12" spans="1:43" s="15" customFormat="1" ht="24" customHeight="1">
      <c r="A12" s="491"/>
      <c r="B12" s="794" t="s">
        <v>683</v>
      </c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Y12" s="490"/>
      <c r="Z12" s="490"/>
      <c r="AA12" s="490"/>
      <c r="AO12" s="491"/>
      <c r="AQ12" s="491"/>
    </row>
    <row r="13" spans="4:43" s="15" customFormat="1" ht="11.25" customHeight="1" thickBot="1">
      <c r="D13" s="447"/>
      <c r="E13" s="581"/>
      <c r="F13" s="447"/>
      <c r="G13" s="447"/>
      <c r="H13" s="447"/>
      <c r="I13" s="447"/>
      <c r="J13" s="447"/>
      <c r="K13" s="447"/>
      <c r="L13" s="447"/>
      <c r="M13" s="494"/>
      <c r="N13" s="580"/>
      <c r="O13" s="580"/>
      <c r="P13" s="580"/>
      <c r="Q13" s="580"/>
      <c r="Y13" s="490"/>
      <c r="Z13" s="490"/>
      <c r="AA13" s="490"/>
      <c r="AO13" s="491"/>
      <c r="AQ13" s="491"/>
    </row>
    <row r="14" spans="1:23" ht="126" customHeight="1">
      <c r="A14" s="736" t="s">
        <v>251</v>
      </c>
      <c r="B14" s="739" t="s">
        <v>274</v>
      </c>
      <c r="C14" s="795" t="s">
        <v>105</v>
      </c>
      <c r="D14" s="795" t="s">
        <v>623</v>
      </c>
      <c r="E14" s="795"/>
      <c r="F14" s="795"/>
      <c r="G14" s="795"/>
      <c r="H14" s="795"/>
      <c r="I14" s="795"/>
      <c r="J14" s="795"/>
      <c r="K14" s="795"/>
      <c r="L14" s="795"/>
      <c r="M14" s="795"/>
      <c r="N14" s="795" t="s">
        <v>70</v>
      </c>
      <c r="O14" s="795"/>
      <c r="P14" s="788" t="s">
        <v>380</v>
      </c>
      <c r="Q14" s="789"/>
      <c r="R14" s="739" t="s">
        <v>106</v>
      </c>
      <c r="S14" s="739" t="s">
        <v>355</v>
      </c>
      <c r="T14" s="739"/>
      <c r="U14" s="739"/>
      <c r="V14" s="739"/>
      <c r="W14" s="747" t="s">
        <v>253</v>
      </c>
    </row>
    <row r="15" spans="1:23" ht="31.5" customHeight="1">
      <c r="A15" s="737"/>
      <c r="B15" s="732"/>
      <c r="C15" s="786"/>
      <c r="D15" s="786" t="s">
        <v>254</v>
      </c>
      <c r="E15" s="786"/>
      <c r="F15" s="786" t="s">
        <v>255</v>
      </c>
      <c r="G15" s="786"/>
      <c r="H15" s="786" t="s">
        <v>256</v>
      </c>
      <c r="I15" s="786"/>
      <c r="J15" s="786" t="s">
        <v>257</v>
      </c>
      <c r="K15" s="786"/>
      <c r="L15" s="798" t="s">
        <v>258</v>
      </c>
      <c r="M15" s="798"/>
      <c r="N15" s="786"/>
      <c r="O15" s="786"/>
      <c r="P15" s="790"/>
      <c r="Q15" s="791"/>
      <c r="R15" s="732"/>
      <c r="S15" s="732" t="s">
        <v>292</v>
      </c>
      <c r="T15" s="732" t="s">
        <v>349</v>
      </c>
      <c r="U15" s="732" t="s">
        <v>347</v>
      </c>
      <c r="V15" s="732"/>
      <c r="W15" s="787"/>
    </row>
    <row r="16" spans="1:37" ht="81.75" customHeight="1">
      <c r="A16" s="737"/>
      <c r="B16" s="732"/>
      <c r="C16" s="786"/>
      <c r="D16" s="684" t="s">
        <v>363</v>
      </c>
      <c r="E16" s="699" t="s">
        <v>364</v>
      </c>
      <c r="F16" s="684" t="s">
        <v>259</v>
      </c>
      <c r="G16" s="684" t="s">
        <v>260</v>
      </c>
      <c r="H16" s="656" t="s">
        <v>259</v>
      </c>
      <c r="I16" s="656" t="s">
        <v>260</v>
      </c>
      <c r="J16" s="685" t="s">
        <v>259</v>
      </c>
      <c r="K16" s="685" t="s">
        <v>260</v>
      </c>
      <c r="L16" s="686" t="s">
        <v>259</v>
      </c>
      <c r="M16" s="687" t="s">
        <v>260</v>
      </c>
      <c r="N16" s="699" t="s">
        <v>254</v>
      </c>
      <c r="O16" s="684" t="s">
        <v>67</v>
      </c>
      <c r="P16" s="699" t="s">
        <v>254</v>
      </c>
      <c r="Q16" s="684" t="s">
        <v>69</v>
      </c>
      <c r="R16" s="732"/>
      <c r="S16" s="732"/>
      <c r="T16" s="732"/>
      <c r="U16" s="13" t="s">
        <v>346</v>
      </c>
      <c r="V16" s="13" t="s">
        <v>348</v>
      </c>
      <c r="W16" s="787"/>
      <c r="Y16" s="763" t="s">
        <v>597</v>
      </c>
      <c r="Z16" s="763"/>
      <c r="AA16" s="763"/>
      <c r="AD16" s="1" t="b">
        <f>AC19-AC19/1.18=8!D31</f>
        <v>0</v>
      </c>
      <c r="AI16" s="763"/>
      <c r="AJ16" s="763"/>
      <c r="AK16" s="763"/>
    </row>
    <row r="17" spans="1:37" ht="18.75">
      <c r="A17" s="25"/>
      <c r="B17" s="24" t="s">
        <v>275</v>
      </c>
      <c r="C17" s="201"/>
      <c r="D17" s="443"/>
      <c r="E17" s="407"/>
      <c r="F17" s="443"/>
      <c r="G17" s="443"/>
      <c r="H17" s="407"/>
      <c r="I17" s="407"/>
      <c r="J17" s="443"/>
      <c r="K17" s="443"/>
      <c r="L17" s="688"/>
      <c r="M17" s="689"/>
      <c r="N17" s="407"/>
      <c r="O17" s="407"/>
      <c r="P17" s="407"/>
      <c r="Q17" s="407"/>
      <c r="R17" s="200"/>
      <c r="S17" s="200"/>
      <c r="T17" s="200"/>
      <c r="U17" s="200"/>
      <c r="V17" s="200"/>
      <c r="W17" s="6"/>
      <c r="AI17" s="132"/>
      <c r="AJ17" s="132"/>
      <c r="AK17" s="132"/>
    </row>
    <row r="18" spans="1:38" ht="31.5">
      <c r="A18" s="25" t="s">
        <v>237</v>
      </c>
      <c r="B18" s="24" t="s">
        <v>354</v>
      </c>
      <c r="C18" s="206">
        <f>C19</f>
        <v>262.8111233</v>
      </c>
      <c r="D18" s="402">
        <f>D19</f>
        <v>88.32397755719998</v>
      </c>
      <c r="E18" s="402">
        <f aca="true" t="shared" si="0" ref="E18:N18">E19</f>
        <v>82.93121665</v>
      </c>
      <c r="F18" s="402">
        <f t="shared" si="0"/>
        <v>14.440158400538838</v>
      </c>
      <c r="G18" s="402">
        <f t="shared" si="0"/>
        <v>6.5080589799999995</v>
      </c>
      <c r="H18" s="402">
        <f t="shared" si="0"/>
        <v>25.493604633888104</v>
      </c>
      <c r="I18" s="402">
        <f t="shared" si="0"/>
        <v>48.0605131</v>
      </c>
      <c r="J18" s="402">
        <f t="shared" si="0"/>
        <v>35.19088388280343</v>
      </c>
      <c r="K18" s="402">
        <f>K19</f>
        <v>18.63136865</v>
      </c>
      <c r="L18" s="690">
        <f t="shared" si="0"/>
        <v>13.199330639969606</v>
      </c>
      <c r="M18" s="691">
        <f t="shared" si="0"/>
        <v>9.73127592</v>
      </c>
      <c r="N18" s="311">
        <f t="shared" si="0"/>
        <v>83.7971732642</v>
      </c>
      <c r="O18" s="311">
        <f>O19</f>
        <v>36.1668584532</v>
      </c>
      <c r="P18" s="311">
        <f>P19</f>
        <v>9.921742006999999</v>
      </c>
      <c r="Q18" s="311">
        <f>Q19</f>
        <v>0</v>
      </c>
      <c r="R18" s="402">
        <f>R19</f>
        <v>179.87990664999998</v>
      </c>
      <c r="S18" s="402">
        <f>S19</f>
        <v>5.392760907200003</v>
      </c>
      <c r="T18" s="200"/>
      <c r="U18" s="200"/>
      <c r="V18" s="200"/>
      <c r="W18" s="6"/>
      <c r="Y18" s="132" t="s">
        <v>598</v>
      </c>
      <c r="Z18" s="132" t="s">
        <v>599</v>
      </c>
      <c r="AA18" s="132" t="s">
        <v>600</v>
      </c>
      <c r="AB18" s="453" t="s">
        <v>602</v>
      </c>
      <c r="AI18" s="132"/>
      <c r="AJ18" s="132"/>
      <c r="AK18" s="132"/>
      <c r="AL18" s="453"/>
    </row>
    <row r="19" spans="1:45" ht="31.5" customHeight="1">
      <c r="A19" s="66" t="s">
        <v>238</v>
      </c>
      <c r="B19" s="24" t="s">
        <v>351</v>
      </c>
      <c r="C19" s="206">
        <f>SUM(C20:C29)</f>
        <v>262.8111233</v>
      </c>
      <c r="D19" s="402">
        <f>SUM(D20:D29)</f>
        <v>88.32397755719998</v>
      </c>
      <c r="E19" s="402">
        <f>SUM(E20:E29)</f>
        <v>82.93121665</v>
      </c>
      <c r="F19" s="402">
        <f>8!E43</f>
        <v>14.440158400538838</v>
      </c>
      <c r="G19" s="402">
        <f>SUM(G20:G29)</f>
        <v>6.5080589799999995</v>
      </c>
      <c r="H19" s="402">
        <f>8!G43</f>
        <v>25.493604633888104</v>
      </c>
      <c r="I19" s="402">
        <f>SUM(I20:I29)</f>
        <v>48.0605131</v>
      </c>
      <c r="J19" s="402">
        <f>8!I43</f>
        <v>35.19088388280343</v>
      </c>
      <c r="K19" s="402">
        <f>SUM(K20:K29)</f>
        <v>18.63136865</v>
      </c>
      <c r="L19" s="690">
        <f>8!K43</f>
        <v>13.199330639969606</v>
      </c>
      <c r="M19" s="691">
        <f>SUM(M20:M29)</f>
        <v>9.73127592</v>
      </c>
      <c r="N19" s="402">
        <f aca="true" t="shared" si="1" ref="N19:S19">SUM(N20:N29)</f>
        <v>83.7971732642</v>
      </c>
      <c r="O19" s="402">
        <f t="shared" si="1"/>
        <v>36.1668584532</v>
      </c>
      <c r="P19" s="402">
        <f t="shared" si="1"/>
        <v>9.921742006999999</v>
      </c>
      <c r="Q19" s="402">
        <f t="shared" si="1"/>
        <v>0</v>
      </c>
      <c r="R19" s="206">
        <f>SUM(R20:R29)</f>
        <v>179.87990664999998</v>
      </c>
      <c r="S19" s="206">
        <f t="shared" si="1"/>
        <v>5.392760907200003</v>
      </c>
      <c r="T19" s="200"/>
      <c r="U19" s="200"/>
      <c r="V19" s="200"/>
      <c r="W19" s="403"/>
      <c r="X19" s="309"/>
      <c r="Y19" s="132">
        <f>SUM(Y20:Y25)</f>
        <v>0</v>
      </c>
      <c r="Z19" s="436">
        <f>SUM(Z20:Z25)</f>
        <v>1.769506</v>
      </c>
      <c r="AA19" s="436">
        <f>SUM(AA20:AA25)</f>
        <v>9.288403007</v>
      </c>
      <c r="AB19" s="436">
        <f>SUM(AB20:AB25)</f>
        <v>13.73710724</v>
      </c>
      <c r="AC19" s="309">
        <f>Y19+Z19+AA19+AB19</f>
        <v>24.795016247</v>
      </c>
      <c r="AD19" s="1" t="b">
        <f>AC19=N19</f>
        <v>0</v>
      </c>
      <c r="AE19" s="309">
        <f>N19-(Y19+Z19+AA19)</f>
        <v>72.7392642572</v>
      </c>
      <c r="AF19" s="454" t="b">
        <f>AB19=AE19</f>
        <v>0</v>
      </c>
      <c r="AI19" s="520" t="b">
        <f>D19=(F19+H19+J19+L19)</f>
        <v>1</v>
      </c>
      <c r="AJ19" s="488">
        <f>C19-E19</f>
        <v>179.87990665</v>
      </c>
      <c r="AK19" s="488" t="b">
        <f>AJ19=R19</f>
        <v>1</v>
      </c>
      <c r="AL19" s="488">
        <f>D19-E19</f>
        <v>5.392760907199985</v>
      </c>
      <c r="AM19" s="712">
        <f>AL19-S19</f>
        <v>-1.7763568394002505E-14</v>
      </c>
      <c r="AN19" s="484"/>
      <c r="AO19" s="486"/>
      <c r="AP19" s="486"/>
      <c r="AQ19" s="486"/>
      <c r="AS19" s="484"/>
    </row>
    <row r="20" spans="1:45" ht="47.25">
      <c r="A20" s="476" t="s">
        <v>381</v>
      </c>
      <c r="B20" s="477" t="s">
        <v>383</v>
      </c>
      <c r="C20" s="311">
        <v>0.6701779999999982</v>
      </c>
      <c r="D20" s="311">
        <v>6.0512355502</v>
      </c>
      <c r="E20" s="311">
        <f>G20+I20+K20+M20</f>
        <v>0.670178</v>
      </c>
      <c r="F20" s="311">
        <f>F19/$D$19*$D$20</f>
        <v>0.9893213856596373</v>
      </c>
      <c r="G20" s="311">
        <v>0.670178</v>
      </c>
      <c r="H20" s="311">
        <f>H19/$D$19*$D$20</f>
        <v>1.746612991510951</v>
      </c>
      <c r="I20" s="311">
        <v>0</v>
      </c>
      <c r="J20" s="311">
        <f>J19/$D$19*$D$20</f>
        <v>2.4109911428827093</v>
      </c>
      <c r="K20" s="311">
        <v>0</v>
      </c>
      <c r="L20" s="692">
        <f>L19/$D$19*$D$20</f>
        <v>0.9043100301467026</v>
      </c>
      <c r="M20" s="692">
        <v>0</v>
      </c>
      <c r="N20" s="311">
        <v>0</v>
      </c>
      <c r="O20" s="311">
        <v>0</v>
      </c>
      <c r="P20" s="311">
        <v>0</v>
      </c>
      <c r="Q20" s="311">
        <v>0</v>
      </c>
      <c r="R20" s="311">
        <f aca="true" t="shared" si="2" ref="R20:R26">C20-G20-I20-K20-M20</f>
        <v>-1.887379141862766E-15</v>
      </c>
      <c r="S20" s="311">
        <f>D20-E20</f>
        <v>5.3810575502</v>
      </c>
      <c r="T20" s="407">
        <f>S20/D20</f>
        <v>0.8892493946995916</v>
      </c>
      <c r="U20" s="407"/>
      <c r="V20" s="441"/>
      <c r="W20" s="480"/>
      <c r="Y20" s="132">
        <v>0</v>
      </c>
      <c r="Z20" s="132">
        <v>0</v>
      </c>
      <c r="AA20" s="409">
        <v>5.616858999999999</v>
      </c>
      <c r="AB20" s="455">
        <f>O20</f>
        <v>0</v>
      </c>
      <c r="AC20" s="309">
        <f aca="true" t="shared" si="3" ref="AC20:AC25">Y20+Z20+AA20+AB20</f>
        <v>5.616858999999999</v>
      </c>
      <c r="AD20" s="1" t="b">
        <f aca="true" t="shared" si="4" ref="AD20:AD25">AC20=N20</f>
        <v>0</v>
      </c>
      <c r="AE20" s="309">
        <f aca="true" t="shared" si="5" ref="AE20:AE25">N20-(Y20+Z20+AA20)</f>
        <v>-5.616858999999999</v>
      </c>
      <c r="AF20" s="454" t="b">
        <f aca="true" t="shared" si="6" ref="AF20:AF25">AB20=AE20</f>
        <v>0</v>
      </c>
      <c r="AH20" s="498">
        <f>C20-D20</f>
        <v>-5.381057550200002</v>
      </c>
      <c r="AI20" s="520" t="b">
        <f>D20=(F20+H20+J20+L20)</f>
        <v>1</v>
      </c>
      <c r="AJ20" s="132"/>
      <c r="AK20" s="457"/>
      <c r="AL20" s="462"/>
      <c r="AM20" s="436"/>
      <c r="AN20" s="484"/>
      <c r="AO20" s="487"/>
      <c r="AP20" s="484"/>
      <c r="AQ20" s="486"/>
      <c r="AR20" s="454"/>
      <c r="AS20" s="484"/>
    </row>
    <row r="21" spans="1:45" ht="31.5">
      <c r="A21" s="476" t="s">
        <v>382</v>
      </c>
      <c r="B21" s="477" t="s">
        <v>395</v>
      </c>
      <c r="C21" s="311">
        <v>0.3799999999999999</v>
      </c>
      <c r="D21" s="311">
        <v>4.7070929999999995</v>
      </c>
      <c r="E21" s="311">
        <f aca="true" t="shared" si="7" ref="E21:E29">G21+I21+K21+M21</f>
        <v>0</v>
      </c>
      <c r="F21" s="311">
        <f>$D$21*F19/$D$19</f>
        <v>0.7695664349134228</v>
      </c>
      <c r="G21" s="311">
        <v>0</v>
      </c>
      <c r="H21" s="311">
        <f>$D$21*H19/$D$19</f>
        <v>1.358643159375696</v>
      </c>
      <c r="I21" s="311">
        <v>0</v>
      </c>
      <c r="J21" s="311">
        <f>$D$21*J19/$D$19</f>
        <v>1.875445012440494</v>
      </c>
      <c r="K21" s="311">
        <v>0</v>
      </c>
      <c r="L21" s="692">
        <f>$D$21*L19/$D$19</f>
        <v>0.7034383932703867</v>
      </c>
      <c r="M21" s="692">
        <v>0</v>
      </c>
      <c r="N21" s="311">
        <v>0</v>
      </c>
      <c r="O21" s="311">
        <v>0</v>
      </c>
      <c r="P21" s="311">
        <v>4.327093</v>
      </c>
      <c r="Q21" s="311">
        <v>0</v>
      </c>
      <c r="R21" s="311">
        <f t="shared" si="2"/>
        <v>0.3799999999999999</v>
      </c>
      <c r="S21" s="311">
        <f aca="true" t="shared" si="8" ref="S21:S26">D21-E21</f>
        <v>4.7070929999999995</v>
      </c>
      <c r="T21" s="407">
        <f aca="true" t="shared" si="9" ref="T21:T29">S21/D21</f>
        <v>1</v>
      </c>
      <c r="U21" s="407"/>
      <c r="V21" s="407"/>
      <c r="W21" s="481"/>
      <c r="Y21" s="132">
        <v>0</v>
      </c>
      <c r="Z21" s="132">
        <v>0</v>
      </c>
      <c r="AA21" s="409">
        <v>0</v>
      </c>
      <c r="AB21" s="455">
        <f>O21</f>
        <v>0</v>
      </c>
      <c r="AC21" s="309">
        <f t="shared" si="3"/>
        <v>0</v>
      </c>
      <c r="AD21" s="1" t="b">
        <f t="shared" si="4"/>
        <v>1</v>
      </c>
      <c r="AE21" s="309">
        <f t="shared" si="5"/>
        <v>0</v>
      </c>
      <c r="AF21" s="454" t="b">
        <f t="shared" si="6"/>
        <v>1</v>
      </c>
      <c r="AH21" s="498">
        <f aca="true" t="shared" si="10" ref="AH21:AH29">C21-D21</f>
        <v>-4.327093</v>
      </c>
      <c r="AI21" s="520" t="b">
        <f aca="true" t="shared" si="11" ref="AI21:AI29">D21=(F21+H21+J21+L21)</f>
        <v>1</v>
      </c>
      <c r="AJ21" s="132"/>
      <c r="AK21" s="409"/>
      <c r="AL21" s="455"/>
      <c r="AM21" s="436"/>
      <c r="AN21" s="484"/>
      <c r="AO21" s="487"/>
      <c r="AP21" s="484"/>
      <c r="AQ21" s="486"/>
      <c r="AR21" s="454"/>
      <c r="AS21" s="484"/>
    </row>
    <row r="22" spans="1:45" ht="33" customHeight="1">
      <c r="A22" s="476" t="s">
        <v>384</v>
      </c>
      <c r="B22" s="477" t="s">
        <v>501</v>
      </c>
      <c r="C22" s="311">
        <v>9.761000000000001</v>
      </c>
      <c r="D22" s="311">
        <v>6.054</v>
      </c>
      <c r="E22" s="311">
        <f t="shared" si="7"/>
        <v>1.495628</v>
      </c>
      <c r="F22" s="311">
        <f>$D$22*F19/$D$19</f>
        <v>0.9897733477893601</v>
      </c>
      <c r="G22" s="311">
        <v>0</v>
      </c>
      <c r="H22" s="311">
        <f>$D$22*H19/$D$19</f>
        <v>1.7474109151572879</v>
      </c>
      <c r="I22" s="311">
        <v>0</v>
      </c>
      <c r="J22" s="311">
        <f>$D$22*J19/$D$19</f>
        <v>2.4120925814116596</v>
      </c>
      <c r="K22" s="311">
        <v>0.995628</v>
      </c>
      <c r="L22" s="692">
        <f>$D$22*L19/$D$19</f>
        <v>0.9047231556416926</v>
      </c>
      <c r="M22" s="692">
        <f>0.5</f>
        <v>0.5</v>
      </c>
      <c r="N22" s="311">
        <f>O22</f>
        <v>4.97814188</v>
      </c>
      <c r="O22" s="311">
        <v>4.97814188</v>
      </c>
      <c r="P22" s="311">
        <v>0</v>
      </c>
      <c r="Q22" s="311">
        <v>0</v>
      </c>
      <c r="R22" s="311">
        <f t="shared" si="2"/>
        <v>8.265372000000001</v>
      </c>
      <c r="S22" s="311">
        <f t="shared" si="8"/>
        <v>4.558372</v>
      </c>
      <c r="T22" s="407">
        <f t="shared" si="9"/>
        <v>0.7529520977865874</v>
      </c>
      <c r="U22" s="407"/>
      <c r="V22" s="407"/>
      <c r="W22" s="482"/>
      <c r="Y22" s="132">
        <v>0</v>
      </c>
      <c r="Z22" s="132">
        <v>0</v>
      </c>
      <c r="AA22" s="409">
        <v>0</v>
      </c>
      <c r="AB22" s="455">
        <f>O22</f>
        <v>4.97814188</v>
      </c>
      <c r="AC22" s="309">
        <f t="shared" si="3"/>
        <v>4.97814188</v>
      </c>
      <c r="AD22" s="1" t="b">
        <f t="shared" si="4"/>
        <v>1</v>
      </c>
      <c r="AE22" s="309">
        <f t="shared" si="5"/>
        <v>4.97814188</v>
      </c>
      <c r="AF22" s="454" t="b">
        <f t="shared" si="6"/>
        <v>1</v>
      </c>
      <c r="AH22" s="498">
        <f t="shared" si="10"/>
        <v>3.7070000000000007</v>
      </c>
      <c r="AI22" s="520" t="b">
        <f t="shared" si="11"/>
        <v>1</v>
      </c>
      <c r="AJ22" s="132"/>
      <c r="AK22" s="409"/>
      <c r="AL22" s="455"/>
      <c r="AM22" s="436"/>
      <c r="AN22" s="484"/>
      <c r="AO22" s="487"/>
      <c r="AP22" s="484"/>
      <c r="AQ22" s="486"/>
      <c r="AR22" s="454"/>
      <c r="AS22" s="484"/>
    </row>
    <row r="23" spans="1:45" ht="42" customHeight="1">
      <c r="A23" s="476" t="s">
        <v>386</v>
      </c>
      <c r="B23" s="477" t="s">
        <v>620</v>
      </c>
      <c r="C23" s="311">
        <v>15.008</v>
      </c>
      <c r="D23" s="311">
        <v>10.01</v>
      </c>
      <c r="E23" s="311">
        <f t="shared" si="7"/>
        <v>0.5</v>
      </c>
      <c r="F23" s="311">
        <f>$D$23*F19/$D$19</f>
        <v>1.636542981726378</v>
      </c>
      <c r="G23" s="311">
        <v>0</v>
      </c>
      <c r="H23" s="311">
        <f>$D$23*H19/$D$19</f>
        <v>2.889260531999414</v>
      </c>
      <c r="I23" s="311">
        <v>0</v>
      </c>
      <c r="J23" s="311">
        <f>$D$23*J19/$D$19</f>
        <v>3.9882799372201374</v>
      </c>
      <c r="K23" s="311">
        <v>0</v>
      </c>
      <c r="L23" s="692">
        <f>$D$23*L19/$D$19</f>
        <v>1.4959165490540702</v>
      </c>
      <c r="M23" s="692">
        <v>0.5</v>
      </c>
      <c r="N23" s="311">
        <v>0</v>
      </c>
      <c r="O23" s="311">
        <v>0</v>
      </c>
      <c r="P23" s="311">
        <v>0</v>
      </c>
      <c r="Q23" s="311">
        <v>0</v>
      </c>
      <c r="R23" s="311">
        <f t="shared" si="2"/>
        <v>14.508</v>
      </c>
      <c r="S23" s="311">
        <f t="shared" si="8"/>
        <v>9.51</v>
      </c>
      <c r="T23" s="407">
        <f t="shared" si="9"/>
        <v>0.9500499500499501</v>
      </c>
      <c r="U23" s="407"/>
      <c r="V23" s="407"/>
      <c r="W23" s="482"/>
      <c r="AA23" s="409"/>
      <c r="AB23" s="455"/>
      <c r="AC23" s="309"/>
      <c r="AE23" s="309"/>
      <c r="AF23" s="454"/>
      <c r="AH23" s="498">
        <f t="shared" si="10"/>
        <v>4.997999999999999</v>
      </c>
      <c r="AI23" s="520" t="b">
        <f>D23=(F23+H23+J23+L23)</f>
        <v>1</v>
      </c>
      <c r="AJ23" s="132"/>
      <c r="AK23" s="409"/>
      <c r="AL23" s="455"/>
      <c r="AM23" s="436"/>
      <c r="AN23" s="484"/>
      <c r="AO23" s="487"/>
      <c r="AP23" s="484"/>
      <c r="AQ23" s="486"/>
      <c r="AR23" s="454"/>
      <c r="AS23" s="484"/>
    </row>
    <row r="24" spans="1:45" ht="51" customHeight="1">
      <c r="A24" s="476" t="s">
        <v>394</v>
      </c>
      <c r="B24" s="477" t="s">
        <v>396</v>
      </c>
      <c r="C24" s="311">
        <v>0.15359899999999982</v>
      </c>
      <c r="D24" s="311">
        <v>5.594649006999999</v>
      </c>
      <c r="E24" s="311">
        <f t="shared" si="7"/>
        <v>0.153599</v>
      </c>
      <c r="F24" s="311">
        <f>$D$24*F19/$D$19</f>
        <v>0.9146736830797502</v>
      </c>
      <c r="G24" s="311">
        <v>0.153599</v>
      </c>
      <c r="H24" s="311">
        <f>$D$24*H19/$D$19</f>
        <v>1.6148250315998813</v>
      </c>
      <c r="I24" s="311">
        <v>0</v>
      </c>
      <c r="J24" s="311">
        <f>$D$24*J19/$D$19</f>
        <v>2.2290735654751908</v>
      </c>
      <c r="K24" s="311">
        <v>0</v>
      </c>
      <c r="L24" s="692">
        <f>$D$24*L19/$D$19</f>
        <v>0.8360767268451768</v>
      </c>
      <c r="M24" s="692">
        <v>0</v>
      </c>
      <c r="N24" s="311">
        <v>0</v>
      </c>
      <c r="O24" s="311">
        <v>0</v>
      </c>
      <c r="P24" s="311">
        <f>4.818069+0.776580007</f>
        <v>5.594649007</v>
      </c>
      <c r="Q24" s="311">
        <v>0</v>
      </c>
      <c r="R24" s="311">
        <f t="shared" si="2"/>
        <v>-1.942890293094024E-16</v>
      </c>
      <c r="S24" s="311">
        <f t="shared" si="8"/>
        <v>5.441050006999999</v>
      </c>
      <c r="T24" s="407">
        <f t="shared" si="9"/>
        <v>0.972545373300842</v>
      </c>
      <c r="U24" s="407"/>
      <c r="V24" s="407"/>
      <c r="W24" s="481"/>
      <c r="Y24" s="132">
        <v>0</v>
      </c>
      <c r="Z24" s="436">
        <v>1.769506</v>
      </c>
      <c r="AA24" s="409">
        <v>3.6715440069999996</v>
      </c>
      <c r="AB24" s="455">
        <f>O24</f>
        <v>0</v>
      </c>
      <c r="AC24" s="309">
        <f t="shared" si="3"/>
        <v>5.441050006999999</v>
      </c>
      <c r="AD24" s="1" t="b">
        <f t="shared" si="4"/>
        <v>0</v>
      </c>
      <c r="AE24" s="309">
        <f t="shared" si="5"/>
        <v>-5.441050006999999</v>
      </c>
      <c r="AF24" s="454" t="b">
        <f t="shared" si="6"/>
        <v>0</v>
      </c>
      <c r="AH24" s="498">
        <f t="shared" si="10"/>
        <v>-5.441050006999999</v>
      </c>
      <c r="AI24" s="520" t="b">
        <f t="shared" si="11"/>
        <v>1</v>
      </c>
      <c r="AJ24" s="436"/>
      <c r="AK24" s="457"/>
      <c r="AL24" s="455"/>
      <c r="AM24" s="436"/>
      <c r="AN24" s="484"/>
      <c r="AO24" s="487"/>
      <c r="AP24" s="484"/>
      <c r="AQ24" s="486"/>
      <c r="AR24" s="454"/>
      <c r="AS24" s="484"/>
    </row>
    <row r="25" spans="1:45" ht="52.5" customHeight="1">
      <c r="A25" s="476" t="s">
        <v>586</v>
      </c>
      <c r="B25" s="477" t="s">
        <v>385</v>
      </c>
      <c r="C25" s="311">
        <v>102.50634629999999</v>
      </c>
      <c r="D25" s="311">
        <v>6</v>
      </c>
      <c r="E25" s="311">
        <f t="shared" si="7"/>
        <v>28.64760123</v>
      </c>
      <c r="F25" s="311">
        <f>$D$25*F19/$D$19</f>
        <v>0.9809448441916354</v>
      </c>
      <c r="G25" s="311">
        <f>0.09113331</f>
        <v>0.09113331</v>
      </c>
      <c r="H25" s="311">
        <f>$D$25*H19/$D$19</f>
        <v>1.7318244947049433</v>
      </c>
      <c r="I25" s="311">
        <v>14.999592</v>
      </c>
      <c r="J25" s="311">
        <f>$D$25*J19/$D$19</f>
        <v>2.3905773849471355</v>
      </c>
      <c r="K25" s="311">
        <f>7.4256</f>
        <v>7.4256</v>
      </c>
      <c r="L25" s="692">
        <f>$D$25*L19/$D$19</f>
        <v>0.896653276156286</v>
      </c>
      <c r="M25" s="692">
        <v>6.13127592</v>
      </c>
      <c r="N25" s="311">
        <f>0.09113331+6.3555*1.18+7.422852*1.18</f>
        <v>16.34958867</v>
      </c>
      <c r="O25" s="311">
        <f>7.422852*1.18</f>
        <v>8.75896536</v>
      </c>
      <c r="P25" s="311">
        <v>0</v>
      </c>
      <c r="Q25" s="311">
        <v>0</v>
      </c>
      <c r="R25" s="311">
        <f t="shared" si="2"/>
        <v>73.85874506999997</v>
      </c>
      <c r="S25" s="311">
        <f>D25-E25</f>
        <v>-22.64760123</v>
      </c>
      <c r="T25" s="407">
        <f t="shared" si="9"/>
        <v>-3.774600205</v>
      </c>
      <c r="U25" s="407"/>
      <c r="V25" s="407"/>
      <c r="W25" s="479"/>
      <c r="Y25" s="132">
        <v>0</v>
      </c>
      <c r="Z25" s="132">
        <v>0</v>
      </c>
      <c r="AA25" s="409">
        <v>0</v>
      </c>
      <c r="AB25" s="455">
        <f>O25</f>
        <v>8.75896536</v>
      </c>
      <c r="AC25" s="309">
        <f t="shared" si="3"/>
        <v>8.75896536</v>
      </c>
      <c r="AD25" s="1" t="b">
        <f t="shared" si="4"/>
        <v>0</v>
      </c>
      <c r="AE25" s="309">
        <f t="shared" si="5"/>
        <v>16.34958867</v>
      </c>
      <c r="AF25" s="454" t="b">
        <f t="shared" si="6"/>
        <v>0</v>
      </c>
      <c r="AH25" s="498">
        <f t="shared" si="10"/>
        <v>96.50634629999999</v>
      </c>
      <c r="AI25" s="520" t="b">
        <f t="shared" si="11"/>
        <v>1</v>
      </c>
      <c r="AJ25" s="132"/>
      <c r="AK25" s="409"/>
      <c r="AL25" s="462"/>
      <c r="AM25" s="436"/>
      <c r="AN25" s="484"/>
      <c r="AO25" s="487"/>
      <c r="AP25" s="484"/>
      <c r="AQ25" s="486"/>
      <c r="AR25" s="454"/>
      <c r="AS25" s="484"/>
    </row>
    <row r="26" spans="1:45" ht="52.5" customHeight="1">
      <c r="A26" s="476" t="s">
        <v>588</v>
      </c>
      <c r="B26" s="477" t="s">
        <v>621</v>
      </c>
      <c r="C26" s="311">
        <v>125.292</v>
      </c>
      <c r="D26" s="311">
        <v>40.867</v>
      </c>
      <c r="E26" s="311">
        <f t="shared" si="7"/>
        <v>44.34091442</v>
      </c>
      <c r="F26" s="311">
        <f>$D$26*F19/$D$19</f>
        <v>6.681378824596593</v>
      </c>
      <c r="G26" s="311">
        <v>1.75277377</v>
      </c>
      <c r="H26" s="311">
        <f>$D$26*H19/$D$19</f>
        <v>11.795745270851151</v>
      </c>
      <c r="I26" s="311">
        <f>29.778</f>
        <v>29.778</v>
      </c>
      <c r="J26" s="311">
        <f>$D$26*J19/$D$19</f>
        <v>16.282620998439096</v>
      </c>
      <c r="K26" s="311">
        <f>2.62916065+7.58098</f>
        <v>10.21014065</v>
      </c>
      <c r="L26" s="692">
        <f>$D$26*L19/$D$19</f>
        <v>6.107254906113156</v>
      </c>
      <c r="M26" s="692">
        <v>2.6</v>
      </c>
      <c r="N26" s="311">
        <f>3.71350375*1.18+24.8343382*1.18+19.00826374*1.18</f>
        <v>56.116204714199995</v>
      </c>
      <c r="O26" s="311">
        <f>19.00826374*1.18</f>
        <v>22.4297512132</v>
      </c>
      <c r="P26" s="311">
        <v>0</v>
      </c>
      <c r="Q26" s="311">
        <v>0</v>
      </c>
      <c r="R26" s="311">
        <f t="shared" si="2"/>
        <v>80.95108558000001</v>
      </c>
      <c r="S26" s="311">
        <f t="shared" si="8"/>
        <v>-3.47391442</v>
      </c>
      <c r="T26" s="407">
        <f t="shared" si="9"/>
        <v>-0.08500536912423226</v>
      </c>
      <c r="U26" s="407"/>
      <c r="V26" s="407"/>
      <c r="W26" s="479"/>
      <c r="AA26" s="409"/>
      <c r="AB26" s="455">
        <f>O26</f>
        <v>22.4297512132</v>
      </c>
      <c r="AC26" s="309"/>
      <c r="AE26" s="309"/>
      <c r="AF26" s="454"/>
      <c r="AH26" s="498">
        <f t="shared" si="10"/>
        <v>84.42500000000001</v>
      </c>
      <c r="AI26" s="520" t="b">
        <f t="shared" si="11"/>
        <v>1</v>
      </c>
      <c r="AJ26" s="132"/>
      <c r="AK26" s="409"/>
      <c r="AL26" s="462"/>
      <c r="AM26" s="436"/>
      <c r="AN26" s="484"/>
      <c r="AO26" s="487"/>
      <c r="AP26" s="484"/>
      <c r="AQ26" s="486"/>
      <c r="AR26" s="454"/>
      <c r="AS26" s="484"/>
    </row>
    <row r="27" spans="1:45" ht="52.5" customHeight="1">
      <c r="A27" s="476" t="s">
        <v>589</v>
      </c>
      <c r="B27" s="477" t="s">
        <v>622</v>
      </c>
      <c r="C27" s="311">
        <v>9.04</v>
      </c>
      <c r="D27" s="311">
        <v>9.04</v>
      </c>
      <c r="E27" s="311">
        <f t="shared" si="7"/>
        <v>7.123296</v>
      </c>
      <c r="F27" s="311">
        <f>$D$27*F19/$D$19</f>
        <v>1.4779568985820635</v>
      </c>
      <c r="G27" s="311">
        <v>3.8403749</v>
      </c>
      <c r="H27" s="311">
        <f>$D$27*H19/$D$19</f>
        <v>2.6092822386887815</v>
      </c>
      <c r="I27" s="311">
        <f>4.1583749-0.8754538</f>
        <v>3.2829211000000003</v>
      </c>
      <c r="J27" s="311">
        <f>$D$27*J19/$D$19</f>
        <v>3.601803259987017</v>
      </c>
      <c r="K27" s="311">
        <v>0</v>
      </c>
      <c r="L27" s="692">
        <f>$D$27*L19/$D$19</f>
        <v>1.3509576027421373</v>
      </c>
      <c r="M27" s="692">
        <v>0</v>
      </c>
      <c r="N27" s="311">
        <f>5.3841*1.18</f>
        <v>6.353238</v>
      </c>
      <c r="O27" s="311">
        <v>0</v>
      </c>
      <c r="P27" s="311">
        <v>0</v>
      </c>
      <c r="Q27" s="311">
        <v>0</v>
      </c>
      <c r="R27" s="311">
        <f>C27-G27-I27-K27-M27</f>
        <v>1.9167039999999984</v>
      </c>
      <c r="S27" s="311">
        <f>D27-E27</f>
        <v>1.9167039999999993</v>
      </c>
      <c r="T27" s="407">
        <f t="shared" si="9"/>
        <v>0.21202477876106188</v>
      </c>
      <c r="U27" s="407"/>
      <c r="V27" s="407"/>
      <c r="W27" s="479"/>
      <c r="AA27" s="409"/>
      <c r="AB27" s="455"/>
      <c r="AC27" s="309"/>
      <c r="AE27" s="309"/>
      <c r="AF27" s="454"/>
      <c r="AH27" s="498">
        <f t="shared" si="10"/>
        <v>0</v>
      </c>
      <c r="AI27" s="520" t="b">
        <f t="shared" si="11"/>
        <v>1</v>
      </c>
      <c r="AJ27" s="132"/>
      <c r="AK27" s="409"/>
      <c r="AL27" s="462"/>
      <c r="AM27" s="436"/>
      <c r="AN27" s="484"/>
      <c r="AO27" s="487"/>
      <c r="AP27" s="484"/>
      <c r="AQ27" s="486"/>
      <c r="AR27" s="454"/>
      <c r="AS27" s="484"/>
    </row>
    <row r="28" spans="1:45" ht="52.5" customHeight="1" hidden="1">
      <c r="A28" s="476" t="s">
        <v>387</v>
      </c>
      <c r="B28" s="477"/>
      <c r="C28" s="311"/>
      <c r="D28" s="311"/>
      <c r="E28" s="709">
        <f t="shared" si="7"/>
        <v>0</v>
      </c>
      <c r="F28" s="311">
        <f>$D$28*F19/$D$19</f>
        <v>0</v>
      </c>
      <c r="G28" s="311">
        <v>0</v>
      </c>
      <c r="H28" s="311">
        <f>$D$28*H19/$D$19</f>
        <v>0</v>
      </c>
      <c r="I28" s="407"/>
      <c r="J28" s="311">
        <f>$D$28*J19/$D$19</f>
        <v>0</v>
      </c>
      <c r="K28" s="407"/>
      <c r="L28" s="692">
        <f>$D$28*L19/$D$19</f>
        <v>0</v>
      </c>
      <c r="M28" s="692"/>
      <c r="N28" s="311">
        <v>0</v>
      </c>
      <c r="O28" s="311">
        <v>0</v>
      </c>
      <c r="P28" s="311">
        <v>0</v>
      </c>
      <c r="Q28" s="311">
        <v>0</v>
      </c>
      <c r="R28" s="311">
        <f>C28-G28-I28-K28-M28</f>
        <v>0</v>
      </c>
      <c r="S28" s="311">
        <f>D28-E28</f>
        <v>0</v>
      </c>
      <c r="T28" s="407" t="e">
        <f t="shared" si="9"/>
        <v>#DIV/0!</v>
      </c>
      <c r="U28" s="407"/>
      <c r="V28" s="407"/>
      <c r="W28" s="479"/>
      <c r="AA28" s="409"/>
      <c r="AB28" s="455"/>
      <c r="AC28" s="309"/>
      <c r="AE28" s="309"/>
      <c r="AF28" s="454"/>
      <c r="AH28" s="498">
        <f t="shared" si="10"/>
        <v>0</v>
      </c>
      <c r="AI28" s="520" t="b">
        <f t="shared" si="11"/>
        <v>1</v>
      </c>
      <c r="AJ28" s="132"/>
      <c r="AK28" s="409"/>
      <c r="AL28" s="462"/>
      <c r="AM28" s="436"/>
      <c r="AN28" s="484"/>
      <c r="AO28" s="487"/>
      <c r="AP28" s="484"/>
      <c r="AQ28" s="486"/>
      <c r="AR28" s="454"/>
      <c r="AS28" s="484"/>
    </row>
    <row r="29" spans="1:45" ht="52.5" customHeight="1" hidden="1">
      <c r="A29" s="476" t="s">
        <v>388</v>
      </c>
      <c r="B29" s="477"/>
      <c r="C29" s="311"/>
      <c r="D29" s="311"/>
      <c r="E29" s="709">
        <f t="shared" si="7"/>
        <v>0</v>
      </c>
      <c r="F29" s="311">
        <f>$D$29*F19/$D$19</f>
        <v>0</v>
      </c>
      <c r="G29" s="311">
        <v>0</v>
      </c>
      <c r="H29" s="311">
        <f>$D$29*H19/$D$19</f>
        <v>0</v>
      </c>
      <c r="I29" s="407"/>
      <c r="J29" s="311">
        <f>$D$29*J19/$D$19</f>
        <v>0</v>
      </c>
      <c r="K29" s="407"/>
      <c r="L29" s="692">
        <f>$D$29*L19/$D$19</f>
        <v>0</v>
      </c>
      <c r="M29" s="692"/>
      <c r="N29" s="311">
        <v>0</v>
      </c>
      <c r="O29" s="311">
        <v>0</v>
      </c>
      <c r="P29" s="311">
        <v>0</v>
      </c>
      <c r="Q29" s="311">
        <v>0</v>
      </c>
      <c r="R29" s="311">
        <f>C29-G29-I29-K29-M29</f>
        <v>0</v>
      </c>
      <c r="S29" s="311">
        <f>D29-E29</f>
        <v>0</v>
      </c>
      <c r="T29" s="407" t="e">
        <f t="shared" si="9"/>
        <v>#DIV/0!</v>
      </c>
      <c r="U29" s="407"/>
      <c r="V29" s="407"/>
      <c r="W29" s="479"/>
      <c r="AA29" s="409"/>
      <c r="AB29" s="455"/>
      <c r="AC29" s="309"/>
      <c r="AE29" s="309"/>
      <c r="AF29" s="454"/>
      <c r="AH29" s="498">
        <f t="shared" si="10"/>
        <v>0</v>
      </c>
      <c r="AI29" s="520" t="b">
        <f t="shared" si="11"/>
        <v>1</v>
      </c>
      <c r="AJ29" s="132"/>
      <c r="AK29" s="409"/>
      <c r="AL29" s="462"/>
      <c r="AM29" s="436"/>
      <c r="AN29" s="484"/>
      <c r="AO29" s="487"/>
      <c r="AP29" s="484"/>
      <c r="AQ29" s="486"/>
      <c r="AR29" s="454"/>
      <c r="AS29" s="484"/>
    </row>
    <row r="30" spans="1:45" ht="31.5" hidden="1">
      <c r="A30" s="312" t="s">
        <v>387</v>
      </c>
      <c r="B30" s="24" t="s">
        <v>35</v>
      </c>
      <c r="C30" s="206"/>
      <c r="D30" s="311"/>
      <c r="E30" s="709"/>
      <c r="F30" s="311"/>
      <c r="G30" s="311"/>
      <c r="H30" s="311"/>
      <c r="I30" s="311"/>
      <c r="J30" s="311"/>
      <c r="K30" s="311"/>
      <c r="L30" s="692"/>
      <c r="M30" s="693"/>
      <c r="N30" s="311"/>
      <c r="O30" s="311"/>
      <c r="P30" s="311"/>
      <c r="Q30" s="311"/>
      <c r="R30" s="205"/>
      <c r="S30" s="205"/>
      <c r="T30" s="200"/>
      <c r="U30" s="200"/>
      <c r="V30" s="200"/>
      <c r="W30" s="423"/>
      <c r="AH30" s="409" t="b">
        <f aca="true" t="shared" si="12" ref="AH30:AH36">C30=D30</f>
        <v>1</v>
      </c>
      <c r="AI30" s="132"/>
      <c r="AJ30" s="132"/>
      <c r="AK30" s="132"/>
      <c r="AS30" s="484"/>
    </row>
    <row r="31" spans="1:45" ht="31.5" hidden="1">
      <c r="A31" s="312" t="s">
        <v>388</v>
      </c>
      <c r="B31" s="24" t="s">
        <v>352</v>
      </c>
      <c r="C31" s="206"/>
      <c r="D31" s="311"/>
      <c r="E31" s="709"/>
      <c r="F31" s="311"/>
      <c r="G31" s="311"/>
      <c r="H31" s="311"/>
      <c r="I31" s="311"/>
      <c r="J31" s="311"/>
      <c r="K31" s="311"/>
      <c r="L31" s="692"/>
      <c r="M31" s="693"/>
      <c r="N31" s="311"/>
      <c r="O31" s="311"/>
      <c r="P31" s="311"/>
      <c r="Q31" s="311"/>
      <c r="R31" s="205"/>
      <c r="S31" s="205"/>
      <c r="T31" s="200"/>
      <c r="U31" s="200"/>
      <c r="V31" s="200"/>
      <c r="W31" s="423"/>
      <c r="AH31" s="409" t="b">
        <f t="shared" si="12"/>
        <v>1</v>
      </c>
      <c r="AI31" s="132"/>
      <c r="AJ31" s="132"/>
      <c r="AK31" s="132"/>
      <c r="AS31" s="484"/>
    </row>
    <row r="32" spans="1:45" ht="47.25" hidden="1">
      <c r="A32" s="312" t="s">
        <v>389</v>
      </c>
      <c r="B32" s="24" t="s">
        <v>353</v>
      </c>
      <c r="C32" s="205"/>
      <c r="D32" s="311"/>
      <c r="E32" s="709"/>
      <c r="F32" s="311"/>
      <c r="G32" s="311"/>
      <c r="H32" s="311"/>
      <c r="I32" s="311"/>
      <c r="J32" s="311"/>
      <c r="K32" s="311"/>
      <c r="L32" s="692"/>
      <c r="M32" s="693"/>
      <c r="N32" s="311"/>
      <c r="O32" s="311"/>
      <c r="P32" s="311"/>
      <c r="Q32" s="311"/>
      <c r="R32" s="205"/>
      <c r="S32" s="205"/>
      <c r="T32" s="200"/>
      <c r="U32" s="200"/>
      <c r="V32" s="200"/>
      <c r="W32" s="423"/>
      <c r="AH32" s="409" t="b">
        <f t="shared" si="12"/>
        <v>1</v>
      </c>
      <c r="AI32" s="132"/>
      <c r="AJ32" s="132"/>
      <c r="AK32" s="132"/>
      <c r="AS32" s="484"/>
    </row>
    <row r="33" spans="1:45" ht="18.75" hidden="1">
      <c r="A33" s="312" t="s">
        <v>390</v>
      </c>
      <c r="B33" s="24" t="s">
        <v>288</v>
      </c>
      <c r="C33" s="206"/>
      <c r="D33" s="402"/>
      <c r="E33" s="710"/>
      <c r="F33" s="402"/>
      <c r="G33" s="402"/>
      <c r="H33" s="402"/>
      <c r="I33" s="402"/>
      <c r="J33" s="311"/>
      <c r="K33" s="402"/>
      <c r="L33" s="692"/>
      <c r="M33" s="693"/>
      <c r="N33" s="311"/>
      <c r="O33" s="311"/>
      <c r="P33" s="311"/>
      <c r="Q33" s="311"/>
      <c r="R33" s="205"/>
      <c r="S33" s="205"/>
      <c r="T33" s="200"/>
      <c r="U33" s="200"/>
      <c r="V33" s="200"/>
      <c r="W33" s="423"/>
      <c r="AH33" s="409" t="b">
        <f t="shared" si="12"/>
        <v>1</v>
      </c>
      <c r="AI33" s="132"/>
      <c r="AJ33" s="132"/>
      <c r="AK33" s="132"/>
      <c r="AS33" s="484"/>
    </row>
    <row r="34" spans="1:45" ht="31.5" hidden="1">
      <c r="A34" s="312" t="s">
        <v>391</v>
      </c>
      <c r="B34" s="24" t="s">
        <v>351</v>
      </c>
      <c r="C34" s="206"/>
      <c r="D34" s="402"/>
      <c r="E34" s="710"/>
      <c r="F34" s="402"/>
      <c r="G34" s="402"/>
      <c r="H34" s="402"/>
      <c r="I34" s="402"/>
      <c r="J34" s="311"/>
      <c r="K34" s="402"/>
      <c r="L34" s="692"/>
      <c r="M34" s="693"/>
      <c r="N34" s="311"/>
      <c r="O34" s="311"/>
      <c r="P34" s="311"/>
      <c r="Q34" s="311"/>
      <c r="R34" s="205"/>
      <c r="S34" s="205"/>
      <c r="T34" s="200"/>
      <c r="U34" s="200"/>
      <c r="V34" s="200"/>
      <c r="W34" s="423"/>
      <c r="AH34" s="409" t="b">
        <f t="shared" si="12"/>
        <v>1</v>
      </c>
      <c r="AI34" s="132"/>
      <c r="AJ34" s="132"/>
      <c r="AK34" s="132"/>
      <c r="AS34" s="484"/>
    </row>
    <row r="35" spans="1:45" ht="18.75" hidden="1">
      <c r="A35" s="312" t="s">
        <v>392</v>
      </c>
      <c r="B35" s="96" t="s">
        <v>43</v>
      </c>
      <c r="C35" s="206"/>
      <c r="D35" s="402"/>
      <c r="E35" s="710"/>
      <c r="F35" s="402"/>
      <c r="G35" s="402"/>
      <c r="H35" s="402"/>
      <c r="I35" s="402"/>
      <c r="J35" s="311"/>
      <c r="K35" s="402"/>
      <c r="L35" s="692"/>
      <c r="M35" s="693"/>
      <c r="N35" s="311"/>
      <c r="O35" s="311"/>
      <c r="P35" s="311"/>
      <c r="Q35" s="311"/>
      <c r="R35" s="205"/>
      <c r="S35" s="205"/>
      <c r="T35" s="200"/>
      <c r="U35" s="200"/>
      <c r="V35" s="200"/>
      <c r="W35" s="423"/>
      <c r="AH35" s="409" t="b">
        <f t="shared" si="12"/>
        <v>1</v>
      </c>
      <c r="AI35" s="132"/>
      <c r="AJ35" s="132"/>
      <c r="AK35" s="132"/>
      <c r="AS35" s="484"/>
    </row>
    <row r="36" spans="1:45" ht="18.75" hidden="1">
      <c r="A36" s="312" t="s">
        <v>393</v>
      </c>
      <c r="B36" s="5"/>
      <c r="C36" s="205"/>
      <c r="D36" s="311"/>
      <c r="E36" s="709"/>
      <c r="F36" s="311"/>
      <c r="G36" s="311"/>
      <c r="H36" s="311"/>
      <c r="I36" s="311"/>
      <c r="J36" s="311"/>
      <c r="K36" s="311"/>
      <c r="L36" s="692"/>
      <c r="M36" s="693"/>
      <c r="N36" s="311"/>
      <c r="O36" s="311"/>
      <c r="P36" s="311"/>
      <c r="Q36" s="311"/>
      <c r="R36" s="205"/>
      <c r="S36" s="205"/>
      <c r="T36" s="200"/>
      <c r="U36" s="200"/>
      <c r="V36" s="200"/>
      <c r="W36" s="423"/>
      <c r="AH36" s="409" t="b">
        <f t="shared" si="12"/>
        <v>1</v>
      </c>
      <c r="AI36" s="132"/>
      <c r="AJ36" s="132"/>
      <c r="AK36" s="132"/>
      <c r="AS36" s="484"/>
    </row>
    <row r="37" spans="1:37" ht="15.75" customHeight="1">
      <c r="A37" s="792" t="s">
        <v>329</v>
      </c>
      <c r="B37" s="765"/>
      <c r="C37" s="205"/>
      <c r="D37" s="311"/>
      <c r="E37" s="311"/>
      <c r="F37" s="311"/>
      <c r="G37" s="311"/>
      <c r="H37" s="311"/>
      <c r="I37" s="311"/>
      <c r="J37" s="311"/>
      <c r="K37" s="311"/>
      <c r="L37" s="692"/>
      <c r="M37" s="693"/>
      <c r="N37" s="311"/>
      <c r="O37" s="311"/>
      <c r="P37" s="311"/>
      <c r="Q37" s="311"/>
      <c r="R37" s="205"/>
      <c r="S37" s="205"/>
      <c r="T37" s="200"/>
      <c r="U37" s="200"/>
      <c r="V37" s="200"/>
      <c r="W37" s="423"/>
      <c r="AI37" s="132"/>
      <c r="AJ37" s="132"/>
      <c r="AK37" s="132"/>
    </row>
    <row r="38" spans="1:35" ht="31.5">
      <c r="A38" s="25"/>
      <c r="B38" s="24" t="s">
        <v>350</v>
      </c>
      <c r="C38" s="205"/>
      <c r="D38" s="311">
        <v>6.528820644083986</v>
      </c>
      <c r="E38" s="311">
        <f>G38+I38+K38+M38</f>
        <v>8.298079469031453</v>
      </c>
      <c r="F38" s="311">
        <f>E64</f>
        <v>1.0674021582443494</v>
      </c>
      <c r="G38" s="311">
        <v>0</v>
      </c>
      <c r="H38" s="311">
        <f>E65</f>
        <v>1.8844619188266587</v>
      </c>
      <c r="I38" s="311">
        <f>E57</f>
        <v>8.298079469031453</v>
      </c>
      <c r="J38" s="311">
        <f>E66</f>
        <v>2.6012751636871942</v>
      </c>
      <c r="K38" s="311">
        <v>0</v>
      </c>
      <c r="L38" s="692">
        <f>E67</f>
        <v>0.9756814033257831</v>
      </c>
      <c r="M38" s="692">
        <v>0</v>
      </c>
      <c r="N38" s="456"/>
      <c r="O38" s="456"/>
      <c r="P38" s="456"/>
      <c r="Q38" s="311"/>
      <c r="R38" s="205"/>
      <c r="S38" s="205"/>
      <c r="T38" s="200"/>
      <c r="U38" s="200"/>
      <c r="V38" s="200"/>
      <c r="W38" s="6"/>
      <c r="AI38" s="520" t="b">
        <f>D38=(F38+H38+J38+L38)</f>
        <v>1</v>
      </c>
    </row>
    <row r="39" spans="1:23" ht="19.5" thickBot="1">
      <c r="A39" s="52" t="s">
        <v>277</v>
      </c>
      <c r="B39" s="53"/>
      <c r="C39" s="207"/>
      <c r="D39" s="408"/>
      <c r="E39" s="408"/>
      <c r="F39" s="408"/>
      <c r="G39" s="408"/>
      <c r="H39" s="408"/>
      <c r="I39" s="408"/>
      <c r="J39" s="408"/>
      <c r="K39" s="408"/>
      <c r="L39" s="694"/>
      <c r="M39" s="695"/>
      <c r="N39" s="408"/>
      <c r="O39" s="408"/>
      <c r="P39" s="408"/>
      <c r="Q39" s="408"/>
      <c r="R39" s="207"/>
      <c r="S39" s="207"/>
      <c r="T39" s="202"/>
      <c r="U39" s="202"/>
      <c r="V39" s="202"/>
      <c r="W39" s="54"/>
    </row>
    <row r="40" spans="1:23" ht="18.75">
      <c r="A40" s="50"/>
      <c r="B40" s="448"/>
      <c r="C40" s="449"/>
      <c r="D40" s="449"/>
      <c r="E40" s="450"/>
      <c r="F40" s="449"/>
      <c r="G40" s="449"/>
      <c r="H40" s="449"/>
      <c r="I40" s="449"/>
      <c r="J40" s="449"/>
      <c r="K40" s="449"/>
      <c r="L40" s="449"/>
      <c r="M40" s="451"/>
      <c r="N40" s="449"/>
      <c r="O40" s="449"/>
      <c r="P40" s="449"/>
      <c r="Q40" s="449"/>
      <c r="R40" s="26"/>
      <c r="S40" s="26"/>
      <c r="T40" s="26"/>
      <c r="U40" s="26"/>
      <c r="V40" s="26"/>
      <c r="W40" s="26"/>
    </row>
    <row r="41" spans="1:23" ht="18.75">
      <c r="A41" s="50"/>
      <c r="B41" s="446" t="s">
        <v>45</v>
      </c>
      <c r="C41" s="449"/>
      <c r="D41" s="448"/>
      <c r="E41" s="448"/>
      <c r="F41" s="448"/>
      <c r="G41" s="448"/>
      <c r="H41" s="448"/>
      <c r="I41" s="448"/>
      <c r="J41" s="448"/>
      <c r="K41" s="448"/>
      <c r="L41" s="448"/>
      <c r="M41" s="452"/>
      <c r="N41" s="448"/>
      <c r="O41" s="448"/>
      <c r="P41" s="448"/>
      <c r="Q41" s="448"/>
      <c r="R41" s="50"/>
      <c r="S41" s="50"/>
      <c r="T41" s="50"/>
      <c r="U41" s="50"/>
      <c r="V41" s="50"/>
      <c r="W41" s="50"/>
    </row>
    <row r="42" spans="1:38" ht="34.5" customHeight="1">
      <c r="A42" s="50"/>
      <c r="B42" s="793" t="s">
        <v>709</v>
      </c>
      <c r="C42" s="793"/>
      <c r="D42" s="793"/>
      <c r="E42" s="793"/>
      <c r="F42" s="793"/>
      <c r="G42" s="793"/>
      <c r="H42" s="793"/>
      <c r="I42" s="793"/>
      <c r="J42" s="793"/>
      <c r="K42" s="793"/>
      <c r="L42" s="448"/>
      <c r="M42" s="452"/>
      <c r="N42" s="448"/>
      <c r="O42" s="600"/>
      <c r="P42" s="448"/>
      <c r="Q42" s="448"/>
      <c r="R42" s="50"/>
      <c r="S42" s="50"/>
      <c r="T42" s="50"/>
      <c r="U42" s="50"/>
      <c r="V42" s="50"/>
      <c r="W42" s="50"/>
      <c r="AI42" s="454"/>
      <c r="AJ42" s="454"/>
      <c r="AL42" s="309"/>
    </row>
    <row r="43" spans="1:38" ht="18.75">
      <c r="A43" s="26"/>
      <c r="B43" s="447" t="s">
        <v>47</v>
      </c>
      <c r="C43" s="447"/>
      <c r="I43" s="449"/>
      <c r="J43" s="449"/>
      <c r="K43" s="449"/>
      <c r="L43" s="449"/>
      <c r="M43" s="451"/>
      <c r="N43" s="449"/>
      <c r="O43" s="449"/>
      <c r="P43" s="449"/>
      <c r="Q43" s="449"/>
      <c r="R43" s="26"/>
      <c r="S43" s="26"/>
      <c r="T43" s="26"/>
      <c r="U43" s="26"/>
      <c r="V43" s="26"/>
      <c r="W43" s="26"/>
      <c r="AI43" s="458"/>
      <c r="AJ43" s="459"/>
      <c r="AK43" s="460"/>
      <c r="AL43" s="460"/>
    </row>
    <row r="44" spans="1:23" ht="18.75">
      <c r="A44" s="26"/>
      <c r="B44" s="785" t="s">
        <v>48</v>
      </c>
      <c r="C44" s="785"/>
      <c r="D44" s="785"/>
      <c r="E44" s="785"/>
      <c r="F44" s="785"/>
      <c r="G44" s="785"/>
      <c r="H44" s="785"/>
      <c r="I44" s="449"/>
      <c r="J44" s="449"/>
      <c r="K44" s="449"/>
      <c r="L44" s="449"/>
      <c r="M44" s="451"/>
      <c r="N44" s="449"/>
      <c r="O44" s="449"/>
      <c r="P44" s="449"/>
      <c r="Q44" s="449"/>
      <c r="R44" s="26"/>
      <c r="S44" s="26"/>
      <c r="T44" s="26"/>
      <c r="U44" s="26"/>
      <c r="V44" s="26"/>
      <c r="W44" s="26"/>
    </row>
    <row r="45" spans="1:23" ht="15.75" customHeight="1">
      <c r="A45" s="26"/>
      <c r="B45" s="447"/>
      <c r="C45" s="447"/>
      <c r="I45" s="449"/>
      <c r="J45" s="449"/>
      <c r="K45" s="449"/>
      <c r="L45" s="449"/>
      <c r="M45" s="451"/>
      <c r="N45" s="449"/>
      <c r="O45" s="449"/>
      <c r="P45" s="449"/>
      <c r="Q45" s="449"/>
      <c r="R45" s="26"/>
      <c r="S45" s="26"/>
      <c r="T45" s="26"/>
      <c r="U45" s="26"/>
      <c r="V45" s="26"/>
      <c r="W45" s="26"/>
    </row>
    <row r="46" spans="1:23" ht="18.75">
      <c r="A46" s="26"/>
      <c r="B46" s="601" t="s">
        <v>668</v>
      </c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26"/>
      <c r="S46" s="26"/>
      <c r="T46" s="26"/>
      <c r="U46" s="26"/>
      <c r="V46" s="26"/>
      <c r="W46" s="26"/>
    </row>
    <row r="47" spans="1:37" ht="18.75">
      <c r="A47" s="26"/>
      <c r="B47" s="26"/>
      <c r="C47" s="26"/>
      <c r="D47" s="449"/>
      <c r="E47" s="449"/>
      <c r="F47" s="449"/>
      <c r="G47" s="449"/>
      <c r="H47" s="449"/>
      <c r="I47" s="449"/>
      <c r="J47" s="449"/>
      <c r="K47" s="449"/>
      <c r="L47" s="449"/>
      <c r="M47" s="451"/>
      <c r="N47" s="449"/>
      <c r="O47" s="449"/>
      <c r="P47" s="449"/>
      <c r="Q47" s="449"/>
      <c r="R47" s="26"/>
      <c r="S47" s="26"/>
      <c r="T47" s="26"/>
      <c r="U47" s="26"/>
      <c r="V47" s="26"/>
      <c r="W47" s="26"/>
      <c r="AK47" s="454"/>
    </row>
    <row r="48" spans="1:38" ht="18.75">
      <c r="A48" s="12"/>
      <c r="AH48" s="463"/>
      <c r="AI48" s="464"/>
      <c r="AJ48" s="465"/>
      <c r="AK48" s="465"/>
      <c r="AL48" s="465"/>
    </row>
    <row r="49" spans="1:15" ht="18.75">
      <c r="A49" s="18"/>
      <c r="C49" s="19"/>
      <c r="G49" s="582"/>
      <c r="H49" s="582"/>
      <c r="I49" s="582"/>
      <c r="O49" s="580">
        <f>(O25+O26)-(O25+O26)/1.18</f>
        <v>4.757600833199998</v>
      </c>
    </row>
    <row r="50" spans="4:23" ht="18.75">
      <c r="D50" s="583"/>
      <c r="G50" s="584"/>
      <c r="I50" s="585"/>
      <c r="J50" s="585"/>
      <c r="K50" s="585"/>
      <c r="M50" s="495"/>
      <c r="N50" s="586"/>
      <c r="O50" s="586"/>
      <c r="P50" s="586"/>
      <c r="Q50" s="586"/>
      <c r="R50" s="28"/>
      <c r="S50" s="28"/>
      <c r="T50" s="28"/>
      <c r="U50" s="28"/>
      <c r="V50" s="28"/>
      <c r="W50" s="28"/>
    </row>
    <row r="51" spans="1:35" ht="18.75">
      <c r="A51" s="15"/>
      <c r="D51" s="587"/>
      <c r="I51" s="587"/>
      <c r="Q51" s="588"/>
      <c r="AI51" s="319"/>
    </row>
    <row r="52" spans="4:17" ht="18.75">
      <c r="D52" s="496"/>
      <c r="F52" s="496"/>
      <c r="H52" s="496"/>
      <c r="J52" s="496"/>
      <c r="L52" s="496"/>
      <c r="Q52" s="588"/>
    </row>
    <row r="53" spans="2:17" ht="18.75">
      <c r="B53" s="1" t="s">
        <v>722</v>
      </c>
      <c r="D53" s="497"/>
      <c r="E53" s="447" t="s">
        <v>676</v>
      </c>
      <c r="F53" s="497"/>
      <c r="H53" s="497"/>
      <c r="J53" s="497"/>
      <c r="L53" s="497"/>
      <c r="Q53" s="588"/>
    </row>
    <row r="54" spans="4:17" ht="18.75">
      <c r="D54" s="497"/>
      <c r="F54" s="497"/>
      <c r="H54" s="497"/>
      <c r="J54" s="497"/>
      <c r="L54" s="497"/>
      <c r="Q54" s="588"/>
    </row>
    <row r="55" spans="2:36" ht="18.75">
      <c r="B55" s="1" t="s">
        <v>399</v>
      </c>
      <c r="C55" s="615">
        <f>8!D36</f>
        <v>0.051974538444259366</v>
      </c>
      <c r="AI55" s="461"/>
      <c r="AJ55" s="461"/>
    </row>
    <row r="56" spans="2:15" ht="18.75">
      <c r="B56" s="1" t="s">
        <v>598</v>
      </c>
      <c r="C56" s="615">
        <f>8!F36</f>
        <v>0</v>
      </c>
      <c r="E56" s="447">
        <f>C56*E64/C64</f>
        <v>0</v>
      </c>
      <c r="O56" s="663"/>
    </row>
    <row r="57" spans="2:5" ht="18.75">
      <c r="B57" s="461" t="s">
        <v>599</v>
      </c>
      <c r="C57" s="616">
        <f>8!H36</f>
        <v>20.405545009168154</v>
      </c>
      <c r="D57" s="617"/>
      <c r="E57" s="618">
        <f>C57*E65/C65</f>
        <v>8.298079469031453</v>
      </c>
    </row>
    <row r="58" spans="2:5" ht="18.75">
      <c r="B58" s="1" t="s">
        <v>600</v>
      </c>
      <c r="C58" s="615">
        <f>8!J36</f>
        <v>0</v>
      </c>
      <c r="D58" s="496"/>
      <c r="E58" s="447">
        <f>C58*E66/C66</f>
        <v>0</v>
      </c>
    </row>
    <row r="59" spans="2:6" ht="18.75">
      <c r="B59" s="1" t="s">
        <v>602</v>
      </c>
      <c r="C59" s="615">
        <f>8!L36</f>
        <v>-20.353570470723895</v>
      </c>
      <c r="E59" s="447">
        <f>C59*E67/C67</f>
        <v>-8.276943603746654</v>
      </c>
      <c r="F59" s="581"/>
    </row>
    <row r="60" ht="18.75">
      <c r="C60" s="1" t="b">
        <f>C55=(C56+C57+C58+C59)</f>
        <v>1</v>
      </c>
    </row>
    <row r="61" spans="2:5" ht="18.75">
      <c r="B61" s="1" t="s">
        <v>675</v>
      </c>
      <c r="E61" s="447" t="s">
        <v>677</v>
      </c>
    </row>
    <row r="63" spans="2:5" ht="18.75">
      <c r="B63" s="1" t="s">
        <v>399</v>
      </c>
      <c r="C63" s="615">
        <f>8!C36</f>
        <v>16.054816540000168</v>
      </c>
      <c r="D63" s="581"/>
      <c r="E63" s="496">
        <f>D38</f>
        <v>6.528820644083986</v>
      </c>
    </row>
    <row r="64" spans="2:5" ht="18.75">
      <c r="B64" s="1" t="s">
        <v>598</v>
      </c>
      <c r="C64" s="615">
        <f>8!E36</f>
        <v>2.6248149182259586</v>
      </c>
      <c r="E64" s="496">
        <f>C64/C63*E63</f>
        <v>1.0674021582443494</v>
      </c>
    </row>
    <row r="65" spans="2:5" ht="18.75">
      <c r="B65" s="461" t="s">
        <v>599</v>
      </c>
      <c r="C65" s="616">
        <f>8!G36</f>
        <v>4.634020756994393</v>
      </c>
      <c r="D65" s="619"/>
      <c r="E65" s="617">
        <f>C65/C63*E63</f>
        <v>1.8844619188266587</v>
      </c>
    </row>
    <row r="66" spans="2:5" ht="18.75">
      <c r="B66" s="1" t="s">
        <v>600</v>
      </c>
      <c r="C66" s="615">
        <f>8!I36</f>
        <v>6.396713556666602</v>
      </c>
      <c r="E66" s="496">
        <f>C66/C63*E63</f>
        <v>2.6012751636871942</v>
      </c>
    </row>
    <row r="67" spans="2:5" ht="18.75">
      <c r="B67" s="1" t="s">
        <v>602</v>
      </c>
      <c r="C67" s="615">
        <f>8!K36</f>
        <v>2.3992673081132128</v>
      </c>
      <c r="E67" s="496">
        <f>C67/C63*E63</f>
        <v>0.9756814033257831</v>
      </c>
    </row>
    <row r="68" spans="3:5" ht="18.75">
      <c r="C68" s="1" t="b">
        <f>C63=(C64+C65+C66+C67)</f>
        <v>1</v>
      </c>
      <c r="E68" s="1" t="b">
        <f>E63=(E64+E65+E66+E67)</f>
        <v>1</v>
      </c>
    </row>
    <row r="69" ht="18.75">
      <c r="F69" s="589"/>
    </row>
    <row r="70" ht="18.75">
      <c r="F70" s="589"/>
    </row>
    <row r="71" ht="18.75">
      <c r="F71" s="589"/>
    </row>
    <row r="72" ht="18.75">
      <c r="F72" s="589"/>
    </row>
    <row r="76" ht="18.75">
      <c r="F76" s="581"/>
    </row>
    <row r="77" ht="18.75">
      <c r="F77" s="581"/>
    </row>
    <row r="78" ht="18.75">
      <c r="F78" s="581"/>
    </row>
    <row r="79" ht="18.75">
      <c r="F79" s="581"/>
    </row>
    <row r="80" ht="18.75">
      <c r="F80" s="581"/>
    </row>
    <row r="81" ht="18.75">
      <c r="F81" s="581"/>
    </row>
    <row r="82" ht="18.75">
      <c r="F82" s="590"/>
    </row>
  </sheetData>
  <sheetProtection/>
  <mergeCells count="24">
    <mergeCell ref="A11:W11"/>
    <mergeCell ref="A14:A16"/>
    <mergeCell ref="B14:B16"/>
    <mergeCell ref="C14:C16"/>
    <mergeCell ref="D14:M14"/>
    <mergeCell ref="U15:V15"/>
    <mergeCell ref="R14:R16"/>
    <mergeCell ref="L15:M15"/>
    <mergeCell ref="AI16:AK16"/>
    <mergeCell ref="Y16:AA16"/>
    <mergeCell ref="B12:W12"/>
    <mergeCell ref="T15:T16"/>
    <mergeCell ref="N14:O15"/>
    <mergeCell ref="S14:V14"/>
    <mergeCell ref="B44:H44"/>
    <mergeCell ref="D15:E15"/>
    <mergeCell ref="F15:G15"/>
    <mergeCell ref="W14:W16"/>
    <mergeCell ref="S15:S16"/>
    <mergeCell ref="P14:Q15"/>
    <mergeCell ref="H15:I15"/>
    <mergeCell ref="J15:K15"/>
    <mergeCell ref="A37:B37"/>
    <mergeCell ref="B42:K42"/>
  </mergeCells>
  <printOptions/>
  <pageMargins left="0.1968503937007874" right="0.1968503937007874" top="0.3937007874015748" bottom="0.5905511811023623" header="0.31496062992125984" footer="0.1968503937007874"/>
  <pageSetup fitToHeight="2" horizontalDpi="600" verticalDpi="600" orientation="landscape" paperSize="9" scale="4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48"/>
  <sheetViews>
    <sheetView view="pageBreakPreview" zoomScale="60" zoomScaleNormal="70" zoomScalePageLayoutView="0" workbookViewId="0" topLeftCell="A1">
      <pane xSplit="2" topLeftCell="M1" activePane="topRight" state="frozen"/>
      <selection pane="topLeft" activeCell="C60" sqref="C60"/>
      <selection pane="topRight" activeCell="AJ10" sqref="AJ10"/>
    </sheetView>
  </sheetViews>
  <sheetFormatPr defaultColWidth="9.00390625" defaultRowHeight="15.75" outlineLevelRow="1"/>
  <cols>
    <col min="1" max="1" width="11.50390625" style="1" bestFit="1" customWidth="1"/>
    <col min="2" max="2" width="36.875" style="1" bestFit="1" customWidth="1"/>
    <col min="3" max="3" width="9.50390625" style="1" customWidth="1"/>
    <col min="4" max="4" width="9.125" style="1" customWidth="1"/>
    <col min="5" max="5" width="8.75390625" style="15" customWidth="1"/>
    <col min="6" max="6" width="10.50390625" style="15" customWidth="1"/>
    <col min="7" max="7" width="7.50390625" style="15" customWidth="1"/>
    <col min="8" max="10" width="8.75390625" style="1" customWidth="1"/>
    <col min="11" max="11" width="11.625" style="1" customWidth="1"/>
    <col min="12" max="12" width="7.75390625" style="1" customWidth="1"/>
    <col min="13" max="17" width="8.12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5.75" outlineLevel="1">
      <c r="AJ1" s="147" t="s">
        <v>151</v>
      </c>
    </row>
    <row r="2" ht="15.75" outlineLevel="1">
      <c r="AJ2" s="147" t="s">
        <v>37</v>
      </c>
    </row>
    <row r="3" ht="15.75" outlineLevel="1">
      <c r="AJ3" s="303" t="s">
        <v>379</v>
      </c>
    </row>
    <row r="4" ht="15.75" outlineLevel="1">
      <c r="AI4" s="3"/>
    </row>
    <row r="5" ht="15.75" outlineLevel="1"/>
    <row r="6" ht="18.75" outlineLevel="1">
      <c r="AJ6" s="297" t="s">
        <v>38</v>
      </c>
    </row>
    <row r="7" ht="18.75" outlineLevel="1">
      <c r="AJ7" s="297" t="s">
        <v>698</v>
      </c>
    </row>
    <row r="8" ht="18.75" outlineLevel="1">
      <c r="AJ8" s="297"/>
    </row>
    <row r="9" ht="18.75" outlineLevel="1">
      <c r="AJ9" s="297" t="s">
        <v>667</v>
      </c>
    </row>
    <row r="10" ht="18.75" outlineLevel="1">
      <c r="AJ10" s="297" t="s">
        <v>748</v>
      </c>
    </row>
    <row r="11" ht="21" customHeight="1" outlineLevel="1">
      <c r="AJ11" s="297" t="s">
        <v>42</v>
      </c>
    </row>
    <row r="12" spans="1:36" ht="40.5" customHeight="1">
      <c r="A12" s="804" t="s">
        <v>724</v>
      </c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  <c r="R12" s="804"/>
      <c r="S12" s="804"/>
      <c r="T12" s="804"/>
      <c r="U12" s="804"/>
      <c r="V12" s="804"/>
      <c r="W12" s="804"/>
      <c r="X12" s="804"/>
      <c r="Y12" s="804"/>
      <c r="Z12" s="804"/>
      <c r="AA12" s="804"/>
      <c r="AB12" s="804"/>
      <c r="AC12" s="804"/>
      <c r="AD12" s="804"/>
      <c r="AE12" s="804"/>
      <c r="AF12" s="804"/>
      <c r="AG12" s="804"/>
      <c r="AH12" s="804"/>
      <c r="AI12" s="804"/>
      <c r="AJ12" s="804"/>
    </row>
    <row r="13" spans="1:36" ht="38.25" customHeight="1">
      <c r="A13" s="810" t="s">
        <v>683</v>
      </c>
      <c r="B13" s="810"/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810"/>
      <c r="W13" s="810"/>
      <c r="X13" s="810"/>
      <c r="Y13" s="810"/>
      <c r="Z13" s="810"/>
      <c r="AA13" s="810"/>
      <c r="AB13" s="810"/>
      <c r="AC13" s="810"/>
      <c r="AD13" s="810"/>
      <c r="AE13" s="810"/>
      <c r="AF13" s="810"/>
      <c r="AG13" s="810"/>
      <c r="AH13" s="810"/>
      <c r="AI13" s="810"/>
      <c r="AJ13" s="810"/>
    </row>
    <row r="14" ht="16.5" thickBot="1"/>
    <row r="15" spans="1:36" ht="22.5" customHeight="1">
      <c r="A15" s="805" t="s">
        <v>251</v>
      </c>
      <c r="B15" s="802" t="s">
        <v>111</v>
      </c>
      <c r="C15" s="802" t="s">
        <v>135</v>
      </c>
      <c r="D15" s="802"/>
      <c r="E15" s="802"/>
      <c r="F15" s="802"/>
      <c r="G15" s="802"/>
      <c r="H15" s="802" t="s">
        <v>136</v>
      </c>
      <c r="I15" s="802"/>
      <c r="J15" s="802"/>
      <c r="K15" s="802"/>
      <c r="L15" s="802"/>
      <c r="M15" s="802" t="s">
        <v>137</v>
      </c>
      <c r="N15" s="802"/>
      <c r="O15" s="802"/>
      <c r="P15" s="802"/>
      <c r="Q15" s="802"/>
      <c r="R15" s="795" t="s">
        <v>138</v>
      </c>
      <c r="S15" s="795"/>
      <c r="T15" s="795"/>
      <c r="U15" s="795"/>
      <c r="V15" s="795"/>
      <c r="W15" s="808" t="s">
        <v>112</v>
      </c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9"/>
    </row>
    <row r="16" spans="1:36" ht="27.75" customHeight="1">
      <c r="A16" s="806"/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786"/>
      <c r="S16" s="786"/>
      <c r="T16" s="786"/>
      <c r="U16" s="786"/>
      <c r="V16" s="786"/>
      <c r="W16" s="803" t="s">
        <v>160</v>
      </c>
      <c r="X16" s="803"/>
      <c r="Y16" s="803"/>
      <c r="Z16" s="803"/>
      <c r="AA16" s="799" t="s">
        <v>113</v>
      </c>
      <c r="AB16" s="799"/>
      <c r="AC16" s="799"/>
      <c r="AD16" s="799"/>
      <c r="AE16" s="799" t="s">
        <v>114</v>
      </c>
      <c r="AF16" s="799"/>
      <c r="AG16" s="799"/>
      <c r="AH16" s="799"/>
      <c r="AI16" s="799"/>
      <c r="AJ16" s="748" t="s">
        <v>162</v>
      </c>
    </row>
    <row r="17" spans="1:36" ht="82.5" customHeight="1">
      <c r="A17" s="25"/>
      <c r="B17" s="24" t="s">
        <v>275</v>
      </c>
      <c r="C17" s="5" t="s">
        <v>123</v>
      </c>
      <c r="D17" s="5" t="s">
        <v>124</v>
      </c>
      <c r="E17" s="5" t="s">
        <v>125</v>
      </c>
      <c r="F17" s="5" t="s">
        <v>126</v>
      </c>
      <c r="G17" s="5" t="s">
        <v>127</v>
      </c>
      <c r="H17" s="5" t="s">
        <v>123</v>
      </c>
      <c r="I17" s="5" t="s">
        <v>124</v>
      </c>
      <c r="J17" s="5" t="s">
        <v>125</v>
      </c>
      <c r="K17" s="5" t="s">
        <v>126</v>
      </c>
      <c r="L17" s="5" t="s">
        <v>127</v>
      </c>
      <c r="M17" s="5" t="s">
        <v>123</v>
      </c>
      <c r="N17" s="5" t="s">
        <v>124</v>
      </c>
      <c r="O17" s="5" t="s">
        <v>125</v>
      </c>
      <c r="P17" s="5" t="s">
        <v>126</v>
      </c>
      <c r="Q17" s="5" t="s">
        <v>127</v>
      </c>
      <c r="R17" s="5" t="s">
        <v>123</v>
      </c>
      <c r="S17" s="5" t="s">
        <v>124</v>
      </c>
      <c r="T17" s="5" t="s">
        <v>125</v>
      </c>
      <c r="U17" s="5" t="s">
        <v>126</v>
      </c>
      <c r="V17" s="5" t="s">
        <v>127</v>
      </c>
      <c r="W17" s="134" t="s">
        <v>115</v>
      </c>
      <c r="X17" s="144" t="s">
        <v>163</v>
      </c>
      <c r="Y17" s="5" t="s">
        <v>161</v>
      </c>
      <c r="Z17" s="5" t="s">
        <v>164</v>
      </c>
      <c r="AA17" s="141" t="s">
        <v>115</v>
      </c>
      <c r="AB17" s="142" t="s">
        <v>116</v>
      </c>
      <c r="AC17" s="142" t="s">
        <v>117</v>
      </c>
      <c r="AD17" s="142" t="s">
        <v>118</v>
      </c>
      <c r="AE17" s="141" t="s">
        <v>119</v>
      </c>
      <c r="AF17" s="142" t="s">
        <v>116</v>
      </c>
      <c r="AG17" s="143" t="s">
        <v>120</v>
      </c>
      <c r="AH17" s="143" t="s">
        <v>121</v>
      </c>
      <c r="AI17" s="142" t="s">
        <v>122</v>
      </c>
      <c r="AJ17" s="807"/>
    </row>
    <row r="18" spans="1:36" ht="42" customHeight="1">
      <c r="A18" s="25">
        <v>1</v>
      </c>
      <c r="B18" s="24" t="s">
        <v>354</v>
      </c>
      <c r="C18" s="206">
        <f>C19</f>
        <v>13.19933063996961</v>
      </c>
      <c r="D18" s="206"/>
      <c r="E18" s="206" t="s">
        <v>128</v>
      </c>
      <c r="F18" s="206"/>
      <c r="G18" s="206"/>
      <c r="H18" s="206">
        <f>H19</f>
        <v>9.73127592</v>
      </c>
      <c r="I18" s="221"/>
      <c r="J18" s="221"/>
      <c r="K18" s="221"/>
      <c r="L18" s="221"/>
      <c r="M18" s="206">
        <f>M19</f>
        <v>-3.468054719969608</v>
      </c>
      <c r="N18" s="221"/>
      <c r="O18" s="221"/>
      <c r="P18" s="221"/>
      <c r="Q18" s="221"/>
      <c r="R18" s="206">
        <f>R19</f>
        <v>36.1668584532</v>
      </c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</row>
    <row r="19" spans="1:36" ht="38.25" customHeight="1">
      <c r="A19" s="66" t="s">
        <v>238</v>
      </c>
      <c r="B19" s="24" t="s">
        <v>351</v>
      </c>
      <c r="C19" s="206">
        <f>SUM(C20:C29)</f>
        <v>13.19933063996961</v>
      </c>
      <c r="D19" s="206"/>
      <c r="E19" s="206"/>
      <c r="F19" s="206"/>
      <c r="G19" s="206"/>
      <c r="H19" s="206">
        <f>SUM(H20:H29)</f>
        <v>9.73127592</v>
      </c>
      <c r="I19" s="221"/>
      <c r="J19" s="221"/>
      <c r="K19" s="221"/>
      <c r="L19" s="221"/>
      <c r="M19" s="206">
        <f>SUM(M20:M29)</f>
        <v>-3.468054719969608</v>
      </c>
      <c r="N19" s="221"/>
      <c r="O19" s="221"/>
      <c r="P19" s="221"/>
      <c r="Q19" s="221"/>
      <c r="R19" s="206">
        <f>SUM(R20:R29)</f>
        <v>36.1668584532</v>
      </c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2"/>
    </row>
    <row r="20" spans="1:36" ht="54" customHeight="1">
      <c r="A20" s="312" t="str">
        <f>'7.1'!A20</f>
        <v>1.1.1</v>
      </c>
      <c r="B20" s="4" t="str">
        <f>'7.1'!B20</f>
        <v>Реконструкция электроснабжения с. Ковран (Установка модульной ДЭС в с. Ковран)</v>
      </c>
      <c r="C20" s="444">
        <f>'7.1'!L20</f>
        <v>0.9043100301467026</v>
      </c>
      <c r="D20" s="223"/>
      <c r="E20" s="223"/>
      <c r="F20" s="223"/>
      <c r="G20" s="223"/>
      <c r="H20" s="445">
        <f>'7.1'!M20</f>
        <v>0</v>
      </c>
      <c r="I20" s="310"/>
      <c r="J20" s="310"/>
      <c r="K20" s="310"/>
      <c r="L20" s="310"/>
      <c r="M20" s="310">
        <f>H20-C20</f>
        <v>-0.9043100301467026</v>
      </c>
      <c r="N20" s="310"/>
      <c r="O20" s="310"/>
      <c r="P20" s="310"/>
      <c r="Q20" s="310"/>
      <c r="R20" s="445">
        <f>'7.1'!O20</f>
        <v>0</v>
      </c>
      <c r="S20" s="310"/>
      <c r="T20" s="310"/>
      <c r="U20" s="310"/>
      <c r="V20" s="310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6"/>
    </row>
    <row r="21" spans="1:36" ht="18.75" customHeight="1">
      <c r="A21" s="312" t="str">
        <f>'7.1'!A21</f>
        <v>1.1.2</v>
      </c>
      <c r="B21" s="4" t="str">
        <f>'7.1'!B21</f>
        <v>Строительство склада ГСМ в с. Ковран</v>
      </c>
      <c r="C21" s="444">
        <f>'7.1'!L21</f>
        <v>0.7034383932703867</v>
      </c>
      <c r="D21" s="223"/>
      <c r="E21" s="223"/>
      <c r="F21" s="223"/>
      <c r="G21" s="223"/>
      <c r="H21" s="445">
        <f>'7.1'!M21</f>
        <v>0</v>
      </c>
      <c r="I21" s="310"/>
      <c r="J21" s="310"/>
      <c r="K21" s="310"/>
      <c r="L21" s="310"/>
      <c r="M21" s="310">
        <f>H21-C21</f>
        <v>-0.7034383932703867</v>
      </c>
      <c r="N21" s="310"/>
      <c r="O21" s="310"/>
      <c r="P21" s="310"/>
      <c r="Q21" s="310"/>
      <c r="R21" s="445">
        <f>'7.1'!O21</f>
        <v>0</v>
      </c>
      <c r="S21" s="310"/>
      <c r="T21" s="310"/>
      <c r="U21" s="310"/>
      <c r="V21" s="310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6"/>
    </row>
    <row r="22" spans="1:36" ht="36" customHeight="1">
      <c r="A22" s="312" t="str">
        <f>'7.1'!A22</f>
        <v>1.1.3</v>
      </c>
      <c r="B22" s="4" t="str">
        <f>'7.1'!B22</f>
        <v>Строительство склада ГСМ в с. Вывенка</v>
      </c>
      <c r="C22" s="444">
        <f>'7.1'!L22</f>
        <v>0.9047231556416926</v>
      </c>
      <c r="D22" s="223"/>
      <c r="E22" s="223"/>
      <c r="F22" s="223"/>
      <c r="G22" s="223"/>
      <c r="H22" s="445">
        <f>'7.1'!M22</f>
        <v>0.5</v>
      </c>
      <c r="I22" s="310"/>
      <c r="J22" s="310"/>
      <c r="K22" s="310"/>
      <c r="L22" s="310"/>
      <c r="M22" s="310">
        <f aca="true" t="shared" si="0" ref="M22:M35">H22-C22</f>
        <v>-0.4047231556416926</v>
      </c>
      <c r="N22" s="310"/>
      <c r="O22" s="310"/>
      <c r="P22" s="310"/>
      <c r="Q22" s="310"/>
      <c r="R22" s="445">
        <f>'7.1'!O22</f>
        <v>4.97814188</v>
      </c>
      <c r="S22" s="310"/>
      <c r="T22" s="310"/>
      <c r="U22" s="310"/>
      <c r="V22" s="310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6"/>
    </row>
    <row r="23" spans="1:36" ht="37.5" customHeight="1">
      <c r="A23" s="312" t="str">
        <f>'7.1'!A23</f>
        <v>1.1.4</v>
      </c>
      <c r="B23" s="4" t="str">
        <f>'7.1'!B23</f>
        <v>Строительство склада ГСМ в с.Тиличики 1000м3</v>
      </c>
      <c r="C23" s="444">
        <f>'7.1'!L23</f>
        <v>1.4959165490540702</v>
      </c>
      <c r="D23" s="223"/>
      <c r="E23" s="223"/>
      <c r="F23" s="223"/>
      <c r="G23" s="223"/>
      <c r="H23" s="445">
        <f>'7.1'!M23</f>
        <v>0.5</v>
      </c>
      <c r="I23" s="310"/>
      <c r="J23" s="310"/>
      <c r="K23" s="310"/>
      <c r="L23" s="310"/>
      <c r="M23" s="310">
        <f>H23-C23</f>
        <v>-0.9959165490540702</v>
      </c>
      <c r="N23" s="310"/>
      <c r="O23" s="310"/>
      <c r="P23" s="310"/>
      <c r="Q23" s="310"/>
      <c r="R23" s="445">
        <f>'7.1'!O23</f>
        <v>0</v>
      </c>
      <c r="S23" s="310"/>
      <c r="T23" s="310"/>
      <c r="U23" s="310"/>
      <c r="V23" s="310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6"/>
    </row>
    <row r="24" spans="1:36" ht="38.25" customHeight="1">
      <c r="A24" s="312" t="str">
        <f>'7.1'!A24</f>
        <v>1.1.5</v>
      </c>
      <c r="B24" s="4" t="str">
        <f>'7.1'!B24</f>
        <v>Строительство базового склада ГСМ 400м3 в с. Апука</v>
      </c>
      <c r="C24" s="444">
        <f>'7.1'!L24</f>
        <v>0.8360767268451768</v>
      </c>
      <c r="D24" s="223"/>
      <c r="E24" s="223"/>
      <c r="F24" s="223"/>
      <c r="G24" s="223"/>
      <c r="H24" s="445">
        <f>'7.1'!M24</f>
        <v>0</v>
      </c>
      <c r="I24" s="310"/>
      <c r="J24" s="310"/>
      <c r="K24" s="310"/>
      <c r="L24" s="310"/>
      <c r="M24" s="310">
        <f t="shared" si="0"/>
        <v>-0.8360767268451768</v>
      </c>
      <c r="N24" s="310"/>
      <c r="O24" s="310"/>
      <c r="P24" s="310"/>
      <c r="Q24" s="310"/>
      <c r="R24" s="445">
        <f>'7.1'!O24</f>
        <v>0</v>
      </c>
      <c r="S24" s="310"/>
      <c r="T24" s="310"/>
      <c r="U24" s="310"/>
      <c r="V24" s="310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6"/>
    </row>
    <row r="25" spans="1:36" ht="52.5" customHeight="1">
      <c r="A25" s="312" t="str">
        <f>'7.1'!A25</f>
        <v>1.1.6</v>
      </c>
      <c r="B25" s="4" t="str">
        <f>'7.1'!B25</f>
        <v>Реконструкция электроснабжения с. Пахачи (Строительство ДЭС в п. Пахачи)</v>
      </c>
      <c r="C25" s="444">
        <f>'7.1'!L25</f>
        <v>0.896653276156286</v>
      </c>
      <c r="D25" s="223"/>
      <c r="E25" s="223"/>
      <c r="F25" s="223"/>
      <c r="G25" s="223"/>
      <c r="H25" s="445">
        <f>'7.1'!M25</f>
        <v>6.13127592</v>
      </c>
      <c r="I25" s="310"/>
      <c r="J25" s="310"/>
      <c r="K25" s="310"/>
      <c r="L25" s="310"/>
      <c r="M25" s="310">
        <f>H25-C25</f>
        <v>5.234622643843714</v>
      </c>
      <c r="N25" s="310"/>
      <c r="O25" s="310"/>
      <c r="P25" s="310"/>
      <c r="Q25" s="310"/>
      <c r="R25" s="445">
        <f>'7.1'!O25</f>
        <v>8.75896536</v>
      </c>
      <c r="S25" s="310"/>
      <c r="T25" s="310"/>
      <c r="U25" s="310"/>
      <c r="V25" s="310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6"/>
    </row>
    <row r="26" spans="1:36" ht="59.25" customHeight="1">
      <c r="A26" s="312" t="str">
        <f>'7.1'!A26</f>
        <v>1.1.7</v>
      </c>
      <c r="B26" s="425" t="str">
        <f>'7.1'!B26</f>
        <v>Реконструкция электроснабжения с. Усть-Хайрюзово (техническое перевооружение ДЭС)</v>
      </c>
      <c r="C26" s="444">
        <f>'7.1'!L26</f>
        <v>6.107254906113156</v>
      </c>
      <c r="D26" s="426"/>
      <c r="E26" s="426"/>
      <c r="F26" s="426"/>
      <c r="G26" s="426"/>
      <c r="H26" s="445">
        <f>'7.1'!M26</f>
        <v>2.6</v>
      </c>
      <c r="I26" s="427"/>
      <c r="J26" s="427"/>
      <c r="K26" s="427"/>
      <c r="L26" s="427"/>
      <c r="M26" s="427">
        <f>H26-C26</f>
        <v>-3.507254906113156</v>
      </c>
      <c r="N26" s="427"/>
      <c r="O26" s="427"/>
      <c r="P26" s="427"/>
      <c r="Q26" s="427"/>
      <c r="R26" s="445">
        <f>'7.1'!O26</f>
        <v>22.4297512132</v>
      </c>
      <c r="S26" s="427"/>
      <c r="T26" s="427"/>
      <c r="U26" s="427"/>
      <c r="V26" s="427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9"/>
    </row>
    <row r="27" spans="1:36" ht="41.25" customHeight="1">
      <c r="A27" s="312" t="str">
        <f>'7.1'!A27</f>
        <v>1.1.8</v>
      </c>
      <c r="B27" s="425" t="str">
        <f>'7.1'!B27</f>
        <v>Установка одного ДГУ на ДЭС-16 п.Средние Пахачи</v>
      </c>
      <c r="C27" s="444">
        <f>'7.1'!L27</f>
        <v>1.3509576027421373</v>
      </c>
      <c r="D27" s="426"/>
      <c r="E27" s="426"/>
      <c r="F27" s="426"/>
      <c r="G27" s="426"/>
      <c r="H27" s="445">
        <f>'7.1'!M27</f>
        <v>0</v>
      </c>
      <c r="I27" s="427"/>
      <c r="J27" s="427"/>
      <c r="K27" s="427"/>
      <c r="L27" s="427"/>
      <c r="M27" s="427">
        <f>H27-C27</f>
        <v>-1.3509576027421373</v>
      </c>
      <c r="N27" s="427"/>
      <c r="O27" s="427"/>
      <c r="P27" s="427"/>
      <c r="Q27" s="427"/>
      <c r="R27" s="445">
        <f>'7.1'!O27</f>
        <v>0</v>
      </c>
      <c r="S27" s="427"/>
      <c r="T27" s="427"/>
      <c r="U27" s="427"/>
      <c r="V27" s="427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9"/>
    </row>
    <row r="28" spans="1:36" ht="39" customHeight="1" hidden="1">
      <c r="A28" s="312" t="str">
        <f>'7.1'!A28</f>
        <v>1.1.9</v>
      </c>
      <c r="B28" s="425">
        <f>'7.1'!B28</f>
        <v>0</v>
      </c>
      <c r="C28" s="444">
        <f>'7.1'!F28</f>
        <v>0</v>
      </c>
      <c r="D28" s="426"/>
      <c r="E28" s="426"/>
      <c r="F28" s="426"/>
      <c r="G28" s="426"/>
      <c r="H28" s="445">
        <f>'7.1'!G28</f>
        <v>0</v>
      </c>
      <c r="I28" s="427"/>
      <c r="J28" s="427"/>
      <c r="K28" s="427"/>
      <c r="L28" s="427"/>
      <c r="M28" s="427">
        <f>H28-C28</f>
        <v>0</v>
      </c>
      <c r="N28" s="427"/>
      <c r="O28" s="427"/>
      <c r="P28" s="427"/>
      <c r="Q28" s="427"/>
      <c r="R28" s="445">
        <f>'7.1'!O28</f>
        <v>0</v>
      </c>
      <c r="S28" s="427"/>
      <c r="T28" s="427"/>
      <c r="U28" s="427"/>
      <c r="V28" s="427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9"/>
    </row>
    <row r="29" spans="1:36" ht="36.75" customHeight="1" hidden="1">
      <c r="A29" s="312" t="str">
        <f>'7.1'!A29</f>
        <v>1.1.10</v>
      </c>
      <c r="B29" s="425">
        <f>'7.1'!B29</f>
        <v>0</v>
      </c>
      <c r="C29" s="444">
        <f>'7.1'!F29</f>
        <v>0</v>
      </c>
      <c r="D29" s="426"/>
      <c r="E29" s="426"/>
      <c r="F29" s="426"/>
      <c r="G29" s="426"/>
      <c r="H29" s="445">
        <f>'7.1'!G29</f>
        <v>0</v>
      </c>
      <c r="I29" s="427"/>
      <c r="J29" s="427"/>
      <c r="K29" s="427"/>
      <c r="L29" s="427"/>
      <c r="M29" s="427">
        <f>H29-C29</f>
        <v>0</v>
      </c>
      <c r="N29" s="427"/>
      <c r="O29" s="427"/>
      <c r="P29" s="427"/>
      <c r="Q29" s="427"/>
      <c r="R29" s="445">
        <f>'7.1'!O29</f>
        <v>0</v>
      </c>
      <c r="S29" s="427"/>
      <c r="T29" s="427"/>
      <c r="U29" s="427"/>
      <c r="V29" s="427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9"/>
    </row>
    <row r="30" spans="1:36" ht="38.25" customHeight="1" hidden="1">
      <c r="A30" s="430" t="s">
        <v>239</v>
      </c>
      <c r="B30" s="431" t="s">
        <v>35</v>
      </c>
      <c r="C30" s="432"/>
      <c r="D30" s="426" t="s">
        <v>128</v>
      </c>
      <c r="E30" s="426"/>
      <c r="F30" s="426"/>
      <c r="G30" s="426"/>
      <c r="H30" s="428"/>
      <c r="I30" s="428"/>
      <c r="J30" s="428"/>
      <c r="K30" s="428"/>
      <c r="L30" s="428"/>
      <c r="M30" s="427">
        <f t="shared" si="0"/>
        <v>0</v>
      </c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9"/>
    </row>
    <row r="31" spans="1:36" ht="39" customHeight="1" hidden="1">
      <c r="A31" s="430" t="s">
        <v>250</v>
      </c>
      <c r="B31" s="431" t="s">
        <v>352</v>
      </c>
      <c r="C31" s="432"/>
      <c r="D31" s="426"/>
      <c r="E31" s="426"/>
      <c r="F31" s="426"/>
      <c r="G31" s="426"/>
      <c r="H31" s="428"/>
      <c r="I31" s="428"/>
      <c r="J31" s="428"/>
      <c r="K31" s="428"/>
      <c r="L31" s="428"/>
      <c r="M31" s="427">
        <f t="shared" si="0"/>
        <v>0</v>
      </c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9"/>
    </row>
    <row r="32" spans="1:36" ht="49.5" customHeight="1" hidden="1">
      <c r="A32" s="430" t="s">
        <v>267</v>
      </c>
      <c r="B32" s="431" t="s">
        <v>353</v>
      </c>
      <c r="C32" s="432"/>
      <c r="D32" s="426"/>
      <c r="E32" s="426"/>
      <c r="F32" s="426"/>
      <c r="G32" s="426"/>
      <c r="H32" s="428"/>
      <c r="I32" s="428"/>
      <c r="J32" s="428"/>
      <c r="K32" s="428"/>
      <c r="L32" s="428"/>
      <c r="M32" s="427">
        <f t="shared" si="0"/>
        <v>0</v>
      </c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9"/>
    </row>
    <row r="33" spans="1:36" ht="20.25" customHeight="1" hidden="1">
      <c r="A33" s="430" t="s">
        <v>240</v>
      </c>
      <c r="B33" s="431" t="s">
        <v>288</v>
      </c>
      <c r="C33" s="432"/>
      <c r="D33" s="432"/>
      <c r="E33" s="432"/>
      <c r="F33" s="432"/>
      <c r="G33" s="432"/>
      <c r="H33" s="428"/>
      <c r="I33" s="428"/>
      <c r="J33" s="428"/>
      <c r="K33" s="428"/>
      <c r="L33" s="428"/>
      <c r="M33" s="427">
        <f t="shared" si="0"/>
        <v>0</v>
      </c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9"/>
    </row>
    <row r="34" spans="1:36" ht="39.75" customHeight="1" hidden="1">
      <c r="A34" s="433" t="s">
        <v>241</v>
      </c>
      <c r="B34" s="431" t="s">
        <v>351</v>
      </c>
      <c r="C34" s="432"/>
      <c r="D34" s="432"/>
      <c r="E34" s="432"/>
      <c r="F34" s="432"/>
      <c r="G34" s="432"/>
      <c r="H34" s="428"/>
      <c r="I34" s="428"/>
      <c r="J34" s="428"/>
      <c r="K34" s="428"/>
      <c r="L34" s="428"/>
      <c r="M34" s="427">
        <f t="shared" si="0"/>
        <v>0</v>
      </c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9"/>
    </row>
    <row r="35" spans="1:36" ht="18.75" customHeight="1" hidden="1">
      <c r="A35" s="433" t="s">
        <v>242</v>
      </c>
      <c r="B35" s="434" t="s">
        <v>43</v>
      </c>
      <c r="C35" s="432"/>
      <c r="D35" s="426"/>
      <c r="E35" s="426"/>
      <c r="F35" s="426"/>
      <c r="G35" s="426"/>
      <c r="H35" s="428"/>
      <c r="I35" s="428"/>
      <c r="J35" s="428"/>
      <c r="K35" s="428"/>
      <c r="L35" s="428"/>
      <c r="M35" s="427">
        <f t="shared" si="0"/>
        <v>0</v>
      </c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9"/>
    </row>
    <row r="36" spans="1:36" ht="15.75" customHeight="1">
      <c r="A36" s="800" t="s">
        <v>329</v>
      </c>
      <c r="B36" s="801"/>
      <c r="C36" s="435"/>
      <c r="D36" s="426"/>
      <c r="E36" s="426"/>
      <c r="F36" s="426"/>
      <c r="G36" s="426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9"/>
    </row>
    <row r="37" spans="1:36" ht="36" customHeight="1">
      <c r="A37" s="430"/>
      <c r="B37" s="431" t="s">
        <v>350</v>
      </c>
      <c r="C37" s="432"/>
      <c r="D37" s="426"/>
      <c r="E37" s="426"/>
      <c r="F37" s="426"/>
      <c r="G37" s="426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9"/>
    </row>
    <row r="38" spans="1:36" ht="16.5" thickBot="1">
      <c r="A38" s="52" t="s">
        <v>277</v>
      </c>
      <c r="B38" s="53"/>
      <c r="C38" s="224"/>
      <c r="D38" s="224"/>
      <c r="E38" s="224"/>
      <c r="F38" s="224"/>
      <c r="G38" s="224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8"/>
    </row>
    <row r="39" spans="1:7" ht="15.75">
      <c r="A39" s="26"/>
      <c r="B39" s="11"/>
      <c r="C39" s="11"/>
      <c r="D39" s="11"/>
      <c r="E39" s="31"/>
      <c r="F39" s="31"/>
      <c r="G39" s="31"/>
    </row>
    <row r="40" spans="1:21" ht="15.75">
      <c r="A40" s="18"/>
      <c r="B40" s="731" t="s">
        <v>129</v>
      </c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</row>
    <row r="41" spans="1:21" ht="15.75">
      <c r="A41" s="18"/>
      <c r="B41" s="1" t="s">
        <v>130</v>
      </c>
      <c r="E41" s="1"/>
      <c r="F41" s="1"/>
      <c r="G41" s="1"/>
      <c r="S41" s="15"/>
      <c r="T41" s="15"/>
      <c r="U41" s="15"/>
    </row>
    <row r="42" spans="2:7" ht="15.75">
      <c r="B42" s="86"/>
      <c r="C42" s="86"/>
      <c r="D42" s="86"/>
      <c r="E42" s="86"/>
      <c r="F42" s="86"/>
      <c r="G42" s="86"/>
    </row>
    <row r="43" spans="1:24" ht="15.75" customHeight="1">
      <c r="A43" s="18"/>
      <c r="B43" s="300"/>
      <c r="C43" s="300"/>
      <c r="D43" s="300"/>
      <c r="E43" s="300"/>
      <c r="F43" s="300"/>
      <c r="G43" s="300"/>
      <c r="H43" s="300"/>
      <c r="J43" s="300"/>
      <c r="K43" s="2" t="s">
        <v>669</v>
      </c>
      <c r="X43" s="1" t="s">
        <v>670</v>
      </c>
    </row>
    <row r="44" spans="1:7" ht="15.75" customHeight="1">
      <c r="A44" s="18"/>
      <c r="B44" s="731"/>
      <c r="C44" s="731"/>
      <c r="D44" s="731"/>
      <c r="E44" s="731"/>
      <c r="F44" s="731"/>
      <c r="G44" s="731"/>
    </row>
    <row r="45" ht="15.75">
      <c r="A45" s="18"/>
    </row>
    <row r="46" ht="15.75">
      <c r="A46" s="18"/>
    </row>
    <row r="47" spans="5:14" ht="33.75" customHeight="1">
      <c r="E47" s="1"/>
      <c r="F47" s="1"/>
      <c r="G47" s="1"/>
      <c r="N47" s="309">
        <f>H18-C18</f>
        <v>-3.4680547199696097</v>
      </c>
    </row>
    <row r="48" spans="1:14" ht="15.75">
      <c r="A48" s="15"/>
      <c r="N48" s="319" t="b">
        <f>M18=N47</f>
        <v>1</v>
      </c>
    </row>
  </sheetData>
  <sheetProtection/>
  <mergeCells count="16">
    <mergeCell ref="A12:AJ12"/>
    <mergeCell ref="B40:U40"/>
    <mergeCell ref="A15:A16"/>
    <mergeCell ref="B15:B16"/>
    <mergeCell ref="AJ16:AJ17"/>
    <mergeCell ref="W15:AJ15"/>
    <mergeCell ref="W16:Z16"/>
    <mergeCell ref="C15:G16"/>
    <mergeCell ref="H15:L16"/>
    <mergeCell ref="A13:AJ13"/>
    <mergeCell ref="B44:G44"/>
    <mergeCell ref="AA16:AD16"/>
    <mergeCell ref="AE16:AI16"/>
    <mergeCell ref="A36:B36"/>
    <mergeCell ref="M15:Q16"/>
    <mergeCell ref="R15:V16"/>
  </mergeCells>
  <printOptions/>
  <pageMargins left="0.2" right="0.2" top="0.75" bottom="0.75" header="0.3" footer="0.3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3"/>
  <sheetViews>
    <sheetView view="pageBreakPreview" zoomScale="75" zoomScaleNormal="87" zoomScaleSheetLayoutView="75" zoomScalePageLayoutView="0" workbookViewId="0" topLeftCell="A1">
      <selection activeCell="P14" sqref="P14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00390625" style="1" customWidth="1"/>
    <col min="4" max="4" width="8.125" style="1" customWidth="1"/>
    <col min="5" max="5" width="8.75390625" style="1" bestFit="1" customWidth="1"/>
    <col min="6" max="6" width="7.875" style="1" customWidth="1"/>
    <col min="7" max="7" width="8.125" style="1" customWidth="1"/>
    <col min="8" max="8" width="8.25390625" style="1" customWidth="1"/>
    <col min="9" max="9" width="8.50390625" style="1" customWidth="1"/>
    <col min="10" max="10" width="7.625" style="1" customWidth="1"/>
    <col min="11" max="11" width="8.125" style="1" bestFit="1" customWidth="1"/>
    <col min="12" max="12" width="7.25390625" style="1" bestFit="1" customWidth="1"/>
    <col min="13" max="13" width="30.75390625" style="1" customWidth="1"/>
    <col min="14" max="14" width="9.875" style="1" bestFit="1" customWidth="1"/>
    <col min="15" max="15" width="14.125" style="95" customWidth="1"/>
    <col min="16" max="16" width="12.75390625" style="95" bestFit="1" customWidth="1"/>
    <col min="17" max="17" width="9.875" style="95" bestFit="1" customWidth="1"/>
    <col min="18" max="19" width="9.00390625" style="95" customWidth="1"/>
    <col min="20" max="20" width="12.625" style="95" bestFit="1" customWidth="1"/>
    <col min="21" max="21" width="12.625" style="1" bestFit="1" customWidth="1"/>
    <col min="22" max="16384" width="9.00390625" style="1" customWidth="1"/>
  </cols>
  <sheetData>
    <row r="1" ht="15.75">
      <c r="M1" s="147" t="s">
        <v>51</v>
      </c>
    </row>
    <row r="2" ht="15.75">
      <c r="M2" s="147" t="s">
        <v>37</v>
      </c>
    </row>
    <row r="3" ht="15.75">
      <c r="M3" s="303" t="s">
        <v>379</v>
      </c>
    </row>
    <row r="4" ht="15.75">
      <c r="M4" s="3"/>
    </row>
    <row r="5" ht="15.75">
      <c r="M5" s="3" t="s">
        <v>38</v>
      </c>
    </row>
    <row r="6" ht="15.75">
      <c r="M6" s="3" t="s">
        <v>698</v>
      </c>
    </row>
    <row r="7" ht="15.75">
      <c r="M7" s="3"/>
    </row>
    <row r="8" ht="15.75">
      <c r="M8" s="3" t="s">
        <v>667</v>
      </c>
    </row>
    <row r="9" ht="15.75">
      <c r="M9" s="3" t="s">
        <v>748</v>
      </c>
    </row>
    <row r="10" ht="15.75">
      <c r="M10" s="3" t="s">
        <v>42</v>
      </c>
    </row>
    <row r="11" ht="15.75">
      <c r="M11" s="3"/>
    </row>
    <row r="12" ht="15.75">
      <c r="M12" s="3"/>
    </row>
    <row r="13" spans="1:15" ht="31.5" customHeight="1">
      <c r="A13" s="754" t="s">
        <v>157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70"/>
      <c r="O13" s="770"/>
    </row>
    <row r="14" spans="1:15" ht="23.25" customHeight="1">
      <c r="A14" s="775" t="s">
        <v>683</v>
      </c>
      <c r="B14" s="775"/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17"/>
      <c r="O14" s="510"/>
    </row>
    <row r="15" spans="1:15" ht="16.5" thickBot="1">
      <c r="A15" s="14"/>
      <c r="M15" s="3"/>
      <c r="N15" s="17"/>
      <c r="O15" s="510"/>
    </row>
    <row r="16" spans="1:13" ht="32.25" customHeight="1">
      <c r="A16" s="736" t="s">
        <v>251</v>
      </c>
      <c r="B16" s="739" t="s">
        <v>252</v>
      </c>
      <c r="C16" s="739" t="s">
        <v>623</v>
      </c>
      <c r="D16" s="739"/>
      <c r="E16" s="739"/>
      <c r="F16" s="739"/>
      <c r="G16" s="739"/>
      <c r="H16" s="739"/>
      <c r="I16" s="739"/>
      <c r="J16" s="739"/>
      <c r="K16" s="739"/>
      <c r="L16" s="739"/>
      <c r="M16" s="747" t="s">
        <v>253</v>
      </c>
    </row>
    <row r="17" spans="1:15" ht="15.75">
      <c r="A17" s="737"/>
      <c r="B17" s="732"/>
      <c r="C17" s="732" t="s">
        <v>254</v>
      </c>
      <c r="D17" s="732"/>
      <c r="E17" s="786" t="s">
        <v>255</v>
      </c>
      <c r="F17" s="786"/>
      <c r="G17" s="786" t="s">
        <v>256</v>
      </c>
      <c r="H17" s="786"/>
      <c r="I17" s="786" t="s">
        <v>257</v>
      </c>
      <c r="J17" s="786"/>
      <c r="K17" s="811" t="s">
        <v>258</v>
      </c>
      <c r="L17" s="811"/>
      <c r="M17" s="748"/>
      <c r="N17" s="309"/>
      <c r="O17" s="511"/>
    </row>
    <row r="18" spans="1:15" ht="16.5" thickBot="1">
      <c r="A18" s="738"/>
      <c r="B18" s="740"/>
      <c r="C18" s="62" t="s">
        <v>343</v>
      </c>
      <c r="D18" s="62" t="s">
        <v>356</v>
      </c>
      <c r="E18" s="437" t="s">
        <v>259</v>
      </c>
      <c r="F18" s="437" t="s">
        <v>260</v>
      </c>
      <c r="G18" s="437" t="s">
        <v>259</v>
      </c>
      <c r="H18" s="437" t="s">
        <v>260</v>
      </c>
      <c r="I18" s="437" t="s">
        <v>259</v>
      </c>
      <c r="J18" s="437" t="s">
        <v>260</v>
      </c>
      <c r="K18" s="717" t="s">
        <v>259</v>
      </c>
      <c r="L18" s="717" t="s">
        <v>260</v>
      </c>
      <c r="M18" s="812"/>
      <c r="O18" s="512"/>
    </row>
    <row r="19" spans="1:21" ht="30" customHeight="1">
      <c r="A19" s="110">
        <v>1</v>
      </c>
      <c r="B19" s="108" t="s">
        <v>262</v>
      </c>
      <c r="C19" s="316">
        <f>'7.1'!D19-C36</f>
        <v>72.26916101719982</v>
      </c>
      <c r="D19" s="316">
        <f>D21+D27+D31+D26</f>
        <v>82.87924211155574</v>
      </c>
      <c r="E19" s="316">
        <f>E20+E27+E31+E26</f>
        <v>11.81534348231288</v>
      </c>
      <c r="F19" s="316">
        <f>F20+F27+F31+F26</f>
        <v>11.598206338029653</v>
      </c>
      <c r="G19" s="316">
        <f>G20+G27+G31+G26</f>
        <v>20.859583876893712</v>
      </c>
      <c r="H19" s="316">
        <f>'7.1'!I19-H36-C72</f>
        <v>22.564820732802193</v>
      </c>
      <c r="I19" s="316">
        <f>I20+I27+I31+I26</f>
        <v>28.794170326136832</v>
      </c>
      <c r="J19" s="316">
        <f>J20+J27+J31+J26</f>
        <v>33.36973674896896</v>
      </c>
      <c r="K19" s="718">
        <f>K20+K27+K31+K26</f>
        <v>10.800063331856393</v>
      </c>
      <c r="L19" s="718">
        <f>L20+L27+L31+L26</f>
        <v>15.346478291754936</v>
      </c>
      <c r="M19" s="314"/>
      <c r="N19" s="7"/>
      <c r="O19" s="505" t="b">
        <v>1</v>
      </c>
      <c r="P19" s="505" t="b">
        <f>C19=(E19+G19+I19+K19)</f>
        <v>1</v>
      </c>
      <c r="Q19" s="505" t="b">
        <f>D19=(F19+H19+J19+L19)</f>
        <v>1</v>
      </c>
      <c r="R19" s="515"/>
      <c r="S19" s="514">
        <f>E19+G19+I19</f>
        <v>61.46909768534343</v>
      </c>
      <c r="T19" s="513">
        <f>D19-S19</f>
        <v>21.410144426212312</v>
      </c>
      <c r="U19" s="411"/>
    </row>
    <row r="20" spans="1:21" ht="31.5">
      <c r="A20" s="94" t="s">
        <v>238</v>
      </c>
      <c r="B20" s="4" t="s">
        <v>263</v>
      </c>
      <c r="C20" s="313">
        <f aca="true" t="shared" si="0" ref="C20:L20">C21</f>
        <v>32.19999999999982</v>
      </c>
      <c r="D20" s="313">
        <f>D21</f>
        <v>32.19999999999982</v>
      </c>
      <c r="E20" s="313">
        <f t="shared" si="0"/>
        <v>5.264403997161747</v>
      </c>
      <c r="F20" s="313">
        <f>F21</f>
        <v>5.264403997161747</v>
      </c>
      <c r="G20" s="311">
        <f t="shared" si="0"/>
        <v>9.29412478824981</v>
      </c>
      <c r="H20" s="313">
        <f t="shared" si="0"/>
        <v>9.29412478824981</v>
      </c>
      <c r="I20" s="311">
        <f t="shared" si="0"/>
        <v>12.829431965882888</v>
      </c>
      <c r="J20" s="313">
        <f t="shared" si="0"/>
        <v>12.829431965882888</v>
      </c>
      <c r="K20" s="719">
        <f t="shared" si="0"/>
        <v>4.812039248705374</v>
      </c>
      <c r="L20" s="716">
        <f t="shared" si="0"/>
        <v>4.812039248705374</v>
      </c>
      <c r="M20" s="314"/>
      <c r="O20" s="410"/>
      <c r="P20" s="515"/>
      <c r="Q20" s="514"/>
      <c r="R20" s="515"/>
      <c r="S20" s="514">
        <f>I31+G31+E31</f>
        <v>1.2019751078985421</v>
      </c>
      <c r="T20" s="513">
        <f>D31-S20</f>
        <v>10.821267003657384</v>
      </c>
      <c r="U20" s="411"/>
    </row>
    <row r="21" spans="1:21" ht="31.5">
      <c r="A21" s="94" t="s">
        <v>264</v>
      </c>
      <c r="B21" s="4" t="s">
        <v>286</v>
      </c>
      <c r="C21" s="313">
        <v>32.19999999999982</v>
      </c>
      <c r="D21" s="316">
        <f>F21+H21+J21+L21</f>
        <v>32.19999999999982</v>
      </c>
      <c r="E21" s="313">
        <f>C21*C66/M66</f>
        <v>5.264403997161747</v>
      </c>
      <c r="F21" s="313">
        <f>E21</f>
        <v>5.264403997161747</v>
      </c>
      <c r="G21" s="311">
        <f>C21*F66/M66</f>
        <v>9.29412478824981</v>
      </c>
      <c r="H21" s="313">
        <f>G21</f>
        <v>9.29412478824981</v>
      </c>
      <c r="I21" s="311">
        <f>C21*I66/M66</f>
        <v>12.829431965882888</v>
      </c>
      <c r="J21" s="313">
        <f>I21</f>
        <v>12.829431965882888</v>
      </c>
      <c r="K21" s="719">
        <f>C21*K66/M66</f>
        <v>4.812039248705374</v>
      </c>
      <c r="L21" s="716">
        <f>K21</f>
        <v>4.812039248705374</v>
      </c>
      <c r="M21" s="314"/>
      <c r="O21" s="505" t="b">
        <f>C21=(E21+G21+I21+K21)</f>
        <v>1</v>
      </c>
      <c r="P21" s="516" t="b">
        <f>D21=(F21+H21+J21+L21)</f>
        <v>1</v>
      </c>
      <c r="Q21" s="514"/>
      <c r="R21" s="515"/>
      <c r="S21" s="515"/>
      <c r="T21" s="513">
        <f>T19-T20</f>
        <v>10.588877422554928</v>
      </c>
      <c r="U21" s="411"/>
    </row>
    <row r="22" spans="1:21" ht="15.75">
      <c r="A22" s="94" t="s">
        <v>280</v>
      </c>
      <c r="B22" s="4" t="s">
        <v>287</v>
      </c>
      <c r="C22" s="313"/>
      <c r="D22" s="313"/>
      <c r="E22" s="313"/>
      <c r="F22" s="313"/>
      <c r="G22" s="311"/>
      <c r="H22" s="313"/>
      <c r="I22" s="311"/>
      <c r="J22" s="313"/>
      <c r="K22" s="719"/>
      <c r="L22" s="716"/>
      <c r="M22" s="314"/>
      <c r="N22" s="309"/>
      <c r="O22" s="512"/>
      <c r="T22" s="513"/>
      <c r="U22" s="411"/>
    </row>
    <row r="23" spans="1:21" ht="47.25">
      <c r="A23" s="94" t="s">
        <v>283</v>
      </c>
      <c r="B23" s="4" t="s">
        <v>335</v>
      </c>
      <c r="C23" s="417"/>
      <c r="D23" s="417"/>
      <c r="E23" s="417"/>
      <c r="F23" s="417"/>
      <c r="G23" s="402"/>
      <c r="H23" s="417"/>
      <c r="I23" s="402"/>
      <c r="J23" s="417"/>
      <c r="K23" s="719"/>
      <c r="L23" s="716"/>
      <c r="M23" s="314"/>
      <c r="O23" s="512"/>
      <c r="T23" s="513"/>
      <c r="U23" s="411"/>
    </row>
    <row r="24" spans="1:21" ht="31.5">
      <c r="A24" s="94" t="s">
        <v>284</v>
      </c>
      <c r="B24" s="4" t="s">
        <v>336</v>
      </c>
      <c r="C24" s="417"/>
      <c r="D24" s="417"/>
      <c r="E24" s="417"/>
      <c r="F24" s="417"/>
      <c r="G24" s="402"/>
      <c r="H24" s="417"/>
      <c r="I24" s="402"/>
      <c r="J24" s="417"/>
      <c r="K24" s="719"/>
      <c r="L24" s="716"/>
      <c r="M24" s="9"/>
      <c r="O24" s="512"/>
      <c r="T24" s="513"/>
      <c r="U24" s="411"/>
    </row>
    <row r="25" spans="1:21" ht="31.5">
      <c r="A25" s="94" t="s">
        <v>285</v>
      </c>
      <c r="B25" s="4" t="s">
        <v>337</v>
      </c>
      <c r="C25" s="313"/>
      <c r="D25" s="313"/>
      <c r="E25" s="313"/>
      <c r="F25" s="313"/>
      <c r="G25" s="311"/>
      <c r="H25" s="313"/>
      <c r="I25" s="311"/>
      <c r="J25" s="313"/>
      <c r="K25" s="719"/>
      <c r="L25" s="716"/>
      <c r="M25" s="9"/>
      <c r="O25" s="512"/>
      <c r="T25" s="513"/>
      <c r="U25" s="411"/>
    </row>
    <row r="26" spans="1:21" ht="15.75">
      <c r="A26" s="94" t="s">
        <v>71</v>
      </c>
      <c r="B26" s="4" t="s">
        <v>56</v>
      </c>
      <c r="C26" s="313"/>
      <c r="D26" s="316"/>
      <c r="E26" s="313"/>
      <c r="F26" s="313"/>
      <c r="G26" s="313"/>
      <c r="H26" s="313"/>
      <c r="I26" s="313"/>
      <c r="J26" s="313"/>
      <c r="K26" s="716"/>
      <c r="L26" s="716"/>
      <c r="M26" s="9"/>
      <c r="O26" s="410"/>
      <c r="P26" s="515"/>
      <c r="Q26" s="514"/>
      <c r="R26" s="515"/>
      <c r="S26" s="515"/>
      <c r="T26" s="513"/>
      <c r="U26" s="411"/>
    </row>
    <row r="27" spans="1:21" ht="15.75">
      <c r="A27" s="94" t="s">
        <v>239</v>
      </c>
      <c r="B27" s="4" t="s">
        <v>265</v>
      </c>
      <c r="C27" s="313">
        <f>C28</f>
        <v>38.656</v>
      </c>
      <c r="D27" s="316">
        <f>F27+H27+J27+L27</f>
        <v>38.65599999999999</v>
      </c>
      <c r="E27" s="313">
        <f>E28</f>
        <v>6.319900649511975</v>
      </c>
      <c r="F27" s="313">
        <f>F28</f>
        <v>6.319900649511975</v>
      </c>
      <c r="G27" s="311">
        <f aca="true" t="shared" si="1" ref="G27:L27">G28</f>
        <v>11.157567944552381</v>
      </c>
      <c r="H27" s="313">
        <f>H28</f>
        <v>11.157567944552381</v>
      </c>
      <c r="I27" s="311">
        <f t="shared" si="1"/>
        <v>15.401693232086076</v>
      </c>
      <c r="J27" s="313">
        <f t="shared" si="1"/>
        <v>15.401693232086076</v>
      </c>
      <c r="K27" s="719">
        <f t="shared" si="1"/>
        <v>5.776838173849565</v>
      </c>
      <c r="L27" s="716">
        <f t="shared" si="1"/>
        <v>5.776838173849565</v>
      </c>
      <c r="M27" s="9"/>
      <c r="O27" s="505" t="b">
        <f>C27=(E27+G27+I27+K27)</f>
        <v>1</v>
      </c>
      <c r="P27" s="505" t="b">
        <f>D27=(F27+H27+J27+L27)</f>
        <v>1</v>
      </c>
      <c r="Q27" s="514"/>
      <c r="R27" s="515"/>
      <c r="S27" s="515"/>
      <c r="T27" s="513"/>
      <c r="U27" s="411"/>
    </row>
    <row r="28" spans="1:21" ht="15.75">
      <c r="A28" s="94" t="s">
        <v>57</v>
      </c>
      <c r="B28" s="4" t="s">
        <v>60</v>
      </c>
      <c r="C28" s="313">
        <v>38.656</v>
      </c>
      <c r="D28" s="316">
        <f>F28+H28+J28+L28</f>
        <v>38.65599999999999</v>
      </c>
      <c r="E28" s="313">
        <f>C28*C66/M66</f>
        <v>6.319900649511975</v>
      </c>
      <c r="F28" s="313">
        <f>E28</f>
        <v>6.319900649511975</v>
      </c>
      <c r="G28" s="311">
        <f>C28*F66/M66</f>
        <v>11.157567944552381</v>
      </c>
      <c r="H28" s="313">
        <f>G28</f>
        <v>11.157567944552381</v>
      </c>
      <c r="I28" s="311">
        <f>C28*I66/M66</f>
        <v>15.401693232086076</v>
      </c>
      <c r="J28" s="313">
        <f>I28</f>
        <v>15.401693232086076</v>
      </c>
      <c r="K28" s="719">
        <f>C28*K66/M66</f>
        <v>5.776838173849565</v>
      </c>
      <c r="L28" s="716">
        <f>K28</f>
        <v>5.776838173849565</v>
      </c>
      <c r="M28" s="9"/>
      <c r="O28" s="410"/>
      <c r="P28" s="515"/>
      <c r="Q28" s="514"/>
      <c r="R28" s="515"/>
      <c r="S28" s="515"/>
      <c r="T28" s="513"/>
      <c r="U28" s="411"/>
    </row>
    <row r="29" spans="1:21" ht="15.75">
      <c r="A29" s="94" t="s">
        <v>58</v>
      </c>
      <c r="B29" s="4" t="s">
        <v>61</v>
      </c>
      <c r="C29" s="418"/>
      <c r="D29" s="418"/>
      <c r="E29" s="418"/>
      <c r="F29" s="418"/>
      <c r="G29" s="311"/>
      <c r="H29" s="418"/>
      <c r="I29" s="311"/>
      <c r="J29" s="418"/>
      <c r="K29" s="719"/>
      <c r="L29" s="720"/>
      <c r="M29" s="9"/>
      <c r="O29" s="512"/>
      <c r="T29" s="513"/>
      <c r="U29" s="411"/>
    </row>
    <row r="30" spans="1:21" ht="31.5">
      <c r="A30" s="94" t="s">
        <v>59</v>
      </c>
      <c r="B30" s="4" t="s">
        <v>62</v>
      </c>
      <c r="C30" s="311"/>
      <c r="D30" s="311"/>
      <c r="E30" s="311"/>
      <c r="F30" s="313"/>
      <c r="G30" s="311"/>
      <c r="H30" s="311"/>
      <c r="I30" s="311"/>
      <c r="J30" s="311"/>
      <c r="K30" s="719"/>
      <c r="L30" s="720"/>
      <c r="M30" s="9"/>
      <c r="O30" s="512"/>
      <c r="T30" s="513"/>
      <c r="U30" s="411"/>
    </row>
    <row r="31" spans="1:21" ht="15.75">
      <c r="A31" s="94" t="s">
        <v>250</v>
      </c>
      <c r="B31" s="4" t="s">
        <v>266</v>
      </c>
      <c r="C31" s="311">
        <v>1.4131610171999966</v>
      </c>
      <c r="D31" s="311">
        <f>F31+H31+J31+L31</f>
        <v>12.023242111555927</v>
      </c>
      <c r="E31" s="311">
        <f>$C$31*(E21+E27+E26)/($C$21+$C$28+C26)</f>
        <v>0.23103883563915723</v>
      </c>
      <c r="F31" s="311">
        <f>0.09113331-0.09113331/1.18</f>
        <v>0.013901691355932194</v>
      </c>
      <c r="G31" s="311">
        <f>$C$31*(G21+G27+G26)/($C$21+$C$28+C26)</f>
        <v>0.407891144091518</v>
      </c>
      <c r="H31" s="311">
        <v>2.1131279999999997</v>
      </c>
      <c r="I31" s="311">
        <f>$C$31*(I21+I27+I26)/($C$21+$C$28+C26)</f>
        <v>0.5630451281678669</v>
      </c>
      <c r="J31" s="311">
        <f>(3.71350375*1.18+24.8343382*1.18)-((3.71350375*1.18+24.8343382*1.18)/1.18)</f>
        <v>5.138611550999997</v>
      </c>
      <c r="K31" s="719">
        <f>$C$31*(K21+K27+K26)/($C$21+$C$28+C26)</f>
        <v>0.2111859093014544</v>
      </c>
      <c r="L31" s="719">
        <f>(7.4228522*1.18+19.00826374*1.18)-((7.4228522*1.18+19.00826374*1.18))/1.18</f>
        <v>4.757600869199997</v>
      </c>
      <c r="M31" s="9"/>
      <c r="O31" s="505" t="b">
        <f>C31=(E31+G31+I31+K31)</f>
        <v>1</v>
      </c>
      <c r="P31" s="505" t="b">
        <f>D31=(F31+H31+J31+L31)</f>
        <v>1</v>
      </c>
      <c r="Q31" s="514"/>
      <c r="R31" s="515"/>
      <c r="S31" s="515"/>
      <c r="T31" s="513"/>
      <c r="U31" s="411"/>
    </row>
    <row r="32" spans="1:21" ht="15.75">
      <c r="A32" s="94" t="s">
        <v>267</v>
      </c>
      <c r="B32" s="4" t="s">
        <v>268</v>
      </c>
      <c r="C32" s="311"/>
      <c r="D32" s="311"/>
      <c r="E32" s="311"/>
      <c r="F32" s="313"/>
      <c r="G32" s="311"/>
      <c r="H32" s="311"/>
      <c r="I32" s="311"/>
      <c r="J32" s="311"/>
      <c r="K32" s="719"/>
      <c r="L32" s="720"/>
      <c r="M32" s="9"/>
      <c r="T32" s="513"/>
      <c r="U32" s="411"/>
    </row>
    <row r="33" spans="1:21" ht="15.75">
      <c r="A33" s="94" t="s">
        <v>269</v>
      </c>
      <c r="B33" s="4" t="s">
        <v>338</v>
      </c>
      <c r="C33" s="311"/>
      <c r="D33" s="311"/>
      <c r="E33" s="311"/>
      <c r="F33" s="313"/>
      <c r="G33" s="311"/>
      <c r="H33" s="311"/>
      <c r="I33" s="311"/>
      <c r="J33" s="311"/>
      <c r="K33" s="719"/>
      <c r="L33" s="720"/>
      <c r="M33" s="9"/>
      <c r="T33" s="513"/>
      <c r="U33" s="411"/>
    </row>
    <row r="34" spans="1:21" ht="32.25" thickBot="1">
      <c r="A34" s="99" t="s">
        <v>1</v>
      </c>
      <c r="B34" s="100" t="s">
        <v>68</v>
      </c>
      <c r="C34" s="408"/>
      <c r="D34" s="408"/>
      <c r="E34" s="408"/>
      <c r="F34" s="419"/>
      <c r="G34" s="408"/>
      <c r="H34" s="408"/>
      <c r="I34" s="408"/>
      <c r="J34" s="408"/>
      <c r="K34" s="721"/>
      <c r="L34" s="722"/>
      <c r="M34" s="30"/>
      <c r="O34" s="512"/>
      <c r="T34" s="513"/>
      <c r="U34" s="411"/>
    </row>
    <row r="35" spans="1:21" ht="15.75">
      <c r="A35" s="107" t="s">
        <v>240</v>
      </c>
      <c r="B35" s="108" t="s">
        <v>339</v>
      </c>
      <c r="C35" s="420">
        <f>C36</f>
        <v>16.054816540000168</v>
      </c>
      <c r="D35" s="420">
        <f aca="true" t="shared" si="2" ref="D35:L35">D36</f>
        <v>0.051974538444259366</v>
      </c>
      <c r="E35" s="420">
        <f t="shared" si="2"/>
        <v>2.6248149182259586</v>
      </c>
      <c r="F35" s="316">
        <f>F36</f>
        <v>0</v>
      </c>
      <c r="G35" s="420">
        <f t="shared" si="2"/>
        <v>4.634020756994393</v>
      </c>
      <c r="H35" s="420">
        <f t="shared" si="2"/>
        <v>20.405545009168154</v>
      </c>
      <c r="I35" s="420">
        <f t="shared" si="2"/>
        <v>6.396713556666602</v>
      </c>
      <c r="J35" s="420">
        <f t="shared" si="2"/>
        <v>0</v>
      </c>
      <c r="K35" s="723">
        <f t="shared" si="2"/>
        <v>2.3992673081132128</v>
      </c>
      <c r="L35" s="723">
        <f t="shared" si="2"/>
        <v>-20.353570470723895</v>
      </c>
      <c r="M35" s="109"/>
      <c r="T35" s="513"/>
      <c r="U35" s="411"/>
    </row>
    <row r="36" spans="1:21" ht="15.75">
      <c r="A36" s="94" t="s">
        <v>241</v>
      </c>
      <c r="B36" s="4" t="s">
        <v>344</v>
      </c>
      <c r="C36" s="311">
        <v>16.054816540000168</v>
      </c>
      <c r="D36" s="316">
        <f>F36+H36+J36+L36</f>
        <v>0.051974538444259366</v>
      </c>
      <c r="E36" s="311">
        <f>$C$36*(E21+E27+E31)/($C$21+$C$27+$C$31)</f>
        <v>2.6248149182259586</v>
      </c>
      <c r="F36" s="311">
        <v>0</v>
      </c>
      <c r="G36" s="311">
        <f>$C$36*(G21+G27+G31)/($C$21+$C$27+$C$31)</f>
        <v>4.634020756994393</v>
      </c>
      <c r="H36" s="311">
        <f>'7.1'!I19-H21-H27-H31-(F19-'7.1'!G19)</f>
        <v>20.405545009168154</v>
      </c>
      <c r="I36" s="311">
        <f>$C$36*(I21+I27+I31)/($C$21+$C$27+$C$31)</f>
        <v>6.396713556666602</v>
      </c>
      <c r="J36" s="311">
        <v>0</v>
      </c>
      <c r="K36" s="719">
        <f>$C$36*(K21+K27+K31)/($C$21+$C$27+$C$31)</f>
        <v>2.3992673081132128</v>
      </c>
      <c r="L36" s="719">
        <f>('7.1'!K18+'7.1'!M18)-(8!J19+8!L19)</f>
        <v>-20.353570470723895</v>
      </c>
      <c r="M36" s="9"/>
      <c r="N36" s="309"/>
      <c r="O36" s="505" t="b">
        <f>C36=(E36+G36+I36+K36)</f>
        <v>1</v>
      </c>
      <c r="P36" s="505" t="b">
        <f>D36=(F36+H36+J36+L36)</f>
        <v>1</v>
      </c>
      <c r="Q36" s="514"/>
      <c r="R36" s="515"/>
      <c r="S36" s="515"/>
      <c r="T36" s="513"/>
      <c r="U36" s="411"/>
    </row>
    <row r="37" spans="1:21" ht="15.75">
      <c r="A37" s="94" t="s">
        <v>242</v>
      </c>
      <c r="B37" s="4" t="s">
        <v>340</v>
      </c>
      <c r="C37" s="205"/>
      <c r="D37" s="205"/>
      <c r="E37" s="311"/>
      <c r="F37" s="311"/>
      <c r="G37" s="311"/>
      <c r="H37" s="311"/>
      <c r="I37" s="311"/>
      <c r="J37" s="311"/>
      <c r="K37" s="719"/>
      <c r="L37" s="720"/>
      <c r="M37" s="9"/>
      <c r="O37" s="512"/>
      <c r="T37" s="513"/>
      <c r="U37" s="411"/>
    </row>
    <row r="38" spans="1:21" ht="21.75" customHeight="1">
      <c r="A38" s="98" t="s">
        <v>243</v>
      </c>
      <c r="B38" s="4" t="s">
        <v>341</v>
      </c>
      <c r="C38" s="210"/>
      <c r="D38" s="210"/>
      <c r="E38" s="438"/>
      <c r="F38" s="438"/>
      <c r="G38" s="438"/>
      <c r="H38" s="438"/>
      <c r="I38" s="438"/>
      <c r="J38" s="438"/>
      <c r="K38" s="724"/>
      <c r="L38" s="725"/>
      <c r="M38" s="92"/>
      <c r="O38" s="512"/>
      <c r="T38" s="513"/>
      <c r="U38" s="411"/>
    </row>
    <row r="39" spans="1:21" ht="15.75">
      <c r="A39" s="98" t="s">
        <v>244</v>
      </c>
      <c r="B39" s="4" t="s">
        <v>270</v>
      </c>
      <c r="C39" s="210"/>
      <c r="D39" s="210"/>
      <c r="E39" s="438"/>
      <c r="F39" s="438"/>
      <c r="G39" s="438"/>
      <c r="H39" s="438"/>
      <c r="I39" s="438"/>
      <c r="J39" s="438"/>
      <c r="K39" s="724"/>
      <c r="L39" s="724"/>
      <c r="M39" s="92"/>
      <c r="T39" s="513"/>
      <c r="U39" s="411"/>
    </row>
    <row r="40" spans="1:21" ht="15.75">
      <c r="A40" s="94" t="s">
        <v>289</v>
      </c>
      <c r="B40" s="4" t="s">
        <v>282</v>
      </c>
      <c r="C40" s="210"/>
      <c r="D40" s="210"/>
      <c r="E40" s="438"/>
      <c r="F40" s="438"/>
      <c r="G40" s="438"/>
      <c r="H40" s="438"/>
      <c r="I40" s="438"/>
      <c r="J40" s="438"/>
      <c r="K40" s="724"/>
      <c r="L40" s="724"/>
      <c r="M40" s="92"/>
      <c r="T40" s="513"/>
      <c r="U40" s="411"/>
    </row>
    <row r="41" spans="1:21" ht="15.75">
      <c r="A41" s="94" t="s">
        <v>334</v>
      </c>
      <c r="B41" s="4" t="s">
        <v>64</v>
      </c>
      <c r="C41" s="210"/>
      <c r="D41" s="210"/>
      <c r="E41" s="438"/>
      <c r="F41" s="438"/>
      <c r="G41" s="438"/>
      <c r="H41" s="438"/>
      <c r="I41" s="438"/>
      <c r="J41" s="438"/>
      <c r="K41" s="724"/>
      <c r="L41" s="724"/>
      <c r="M41" s="92"/>
      <c r="T41" s="513"/>
      <c r="U41" s="411"/>
    </row>
    <row r="42" spans="1:21" ht="16.5" thickBot="1">
      <c r="A42" s="99" t="s">
        <v>63</v>
      </c>
      <c r="B42" s="100" t="s">
        <v>271</v>
      </c>
      <c r="C42" s="211"/>
      <c r="D42" s="211"/>
      <c r="E42" s="439"/>
      <c r="F42" s="439"/>
      <c r="G42" s="439"/>
      <c r="H42" s="439"/>
      <c r="I42" s="439"/>
      <c r="J42" s="439"/>
      <c r="K42" s="726"/>
      <c r="L42" s="726"/>
      <c r="M42" s="93"/>
      <c r="T42" s="513"/>
      <c r="U42" s="411"/>
    </row>
    <row r="43" spans="1:21" ht="31.5">
      <c r="A43" s="104"/>
      <c r="B43" s="105" t="s">
        <v>261</v>
      </c>
      <c r="C43" s="317">
        <f>C19+C35</f>
        <v>88.32397755719998</v>
      </c>
      <c r="D43" s="317">
        <f>D19+D35</f>
        <v>82.93121665</v>
      </c>
      <c r="E43" s="440">
        <f aca="true" t="shared" si="3" ref="E43:K43">E19+E35</f>
        <v>14.440158400538838</v>
      </c>
      <c r="F43" s="596">
        <f>F19+F35</f>
        <v>11.598206338029653</v>
      </c>
      <c r="G43" s="596">
        <f t="shared" si="3"/>
        <v>25.493604633888104</v>
      </c>
      <c r="H43" s="440">
        <f>H19+H35</f>
        <v>42.97036574197035</v>
      </c>
      <c r="I43" s="596">
        <f t="shared" si="3"/>
        <v>35.19088388280343</v>
      </c>
      <c r="J43" s="440">
        <f t="shared" si="3"/>
        <v>33.36973674896896</v>
      </c>
      <c r="K43" s="727">
        <f t="shared" si="3"/>
        <v>13.199330639969606</v>
      </c>
      <c r="L43" s="728">
        <f>L19+L35</f>
        <v>-5.007092178968959</v>
      </c>
      <c r="M43" s="106"/>
      <c r="O43" s="505" t="b">
        <v>1</v>
      </c>
      <c r="P43" s="519" t="b">
        <f>C43=(E43+G43+I43+K43)</f>
        <v>1</v>
      </c>
      <c r="Q43" s="519" t="b">
        <f>D43=(F43+H43+J43+L43)</f>
        <v>1</v>
      </c>
      <c r="R43" s="515"/>
      <c r="S43" s="515"/>
      <c r="T43" s="513"/>
      <c r="U43" s="411"/>
    </row>
    <row r="44" spans="1:21" ht="15.75">
      <c r="A44" s="8"/>
      <c r="B44" s="4" t="s">
        <v>52</v>
      </c>
      <c r="C44" s="210"/>
      <c r="D44" s="210"/>
      <c r="E44" s="438"/>
      <c r="F44" s="438"/>
      <c r="G44" s="438"/>
      <c r="H44" s="438"/>
      <c r="I44" s="438"/>
      <c r="J44" s="438"/>
      <c r="K44" s="724"/>
      <c r="L44" s="724"/>
      <c r="M44" s="92"/>
      <c r="T44" s="513"/>
      <c r="U44" s="411"/>
    </row>
    <row r="45" spans="1:21" ht="15.75">
      <c r="A45" s="8"/>
      <c r="B45" s="90" t="s">
        <v>53</v>
      </c>
      <c r="C45" s="210"/>
      <c r="D45" s="210"/>
      <c r="E45" s="438"/>
      <c r="F45" s="438"/>
      <c r="G45" s="438"/>
      <c r="H45" s="438"/>
      <c r="I45" s="438"/>
      <c r="J45" s="438"/>
      <c r="K45" s="724"/>
      <c r="L45" s="724"/>
      <c r="M45" s="92"/>
      <c r="T45" s="513"/>
      <c r="U45" s="411"/>
    </row>
    <row r="46" spans="1:21" ht="16.5" thickBot="1">
      <c r="A46" s="67"/>
      <c r="B46" s="91" t="s">
        <v>54</v>
      </c>
      <c r="C46" s="29"/>
      <c r="D46" s="29"/>
      <c r="E46" s="597"/>
      <c r="F46" s="597"/>
      <c r="G46" s="597"/>
      <c r="H46" s="597"/>
      <c r="I46" s="597"/>
      <c r="J46" s="597"/>
      <c r="K46" s="729"/>
      <c r="L46" s="729"/>
      <c r="M46" s="93"/>
      <c r="O46" s="512"/>
      <c r="P46" s="512">
        <f>E43+G43+I43+K43</f>
        <v>88.32397755719998</v>
      </c>
      <c r="Q46" s="512"/>
      <c r="T46" s="513"/>
      <c r="U46" s="411"/>
    </row>
    <row r="47" spans="1:21" ht="16.5" thickBot="1">
      <c r="A47" s="12"/>
      <c r="B47" s="97"/>
      <c r="C47" s="31"/>
      <c r="D47" s="31"/>
      <c r="E47" s="31"/>
      <c r="F47" s="31"/>
      <c r="G47" s="11"/>
      <c r="H47" s="11"/>
      <c r="I47" s="11"/>
      <c r="J47" s="11"/>
      <c r="K47" s="11"/>
      <c r="L47" s="11"/>
      <c r="M47" s="11"/>
      <c r="O47" s="517"/>
      <c r="P47" s="512">
        <f>P46-D43</f>
        <v>5.392760907199985</v>
      </c>
      <c r="T47" s="513"/>
      <c r="U47" s="411"/>
    </row>
    <row r="48" spans="1:16" ht="16.5" thickBot="1">
      <c r="A48" s="12" t="s">
        <v>342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P48" s="715">
        <f>'7.1'!E18-D43</f>
        <v>0</v>
      </c>
    </row>
    <row r="49" spans="1:12" ht="15.75">
      <c r="A49" s="12" t="s">
        <v>357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5.75">
      <c r="A50" s="12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5" ht="15.75">
      <c r="A51" s="769" t="s">
        <v>671</v>
      </c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  <c r="M51" s="769"/>
      <c r="N51" s="11"/>
      <c r="O51" s="504"/>
    </row>
    <row r="52" spans="3:12" ht="15.75"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3:12" ht="15.75"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2:14" ht="15.75">
      <c r="B54" s="404" t="s">
        <v>400</v>
      </c>
      <c r="C54" s="405" t="s">
        <v>403</v>
      </c>
      <c r="D54" s="405"/>
      <c r="E54" s="405"/>
      <c r="F54" s="405" t="s">
        <v>404</v>
      </c>
      <c r="G54" s="405"/>
      <c r="H54" s="405"/>
      <c r="I54" s="405" t="s">
        <v>405</v>
      </c>
      <c r="J54" s="405"/>
      <c r="K54" s="405" t="s">
        <v>406</v>
      </c>
      <c r="L54" s="405"/>
      <c r="M54" s="406" t="s">
        <v>399</v>
      </c>
      <c r="N54" s="319"/>
    </row>
    <row r="55" spans="3:12" ht="15.75"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2:14" ht="15.75">
      <c r="B56" s="1" t="s">
        <v>402</v>
      </c>
      <c r="C56" s="322">
        <v>1438758</v>
      </c>
      <c r="D56" s="320"/>
      <c r="E56" s="320"/>
      <c r="F56" s="322">
        <v>1834394</v>
      </c>
      <c r="G56" s="320"/>
      <c r="H56" s="320"/>
      <c r="I56" s="322">
        <v>1930629</v>
      </c>
      <c r="J56" s="320"/>
      <c r="K56" s="322">
        <v>1379222</v>
      </c>
      <c r="L56" s="320"/>
      <c r="M56" s="323">
        <v>6583003</v>
      </c>
      <c r="N56" s="506" t="b">
        <f>M56=(C56+F56+I56+K56)</f>
        <v>1</v>
      </c>
    </row>
    <row r="57" spans="3:14" ht="15.75"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1"/>
      <c r="N57" s="506"/>
    </row>
    <row r="58" spans="2:14" ht="15.75">
      <c r="B58" s="1" t="s">
        <v>401</v>
      </c>
      <c r="C58" s="322">
        <v>2291634</v>
      </c>
      <c r="D58" s="320"/>
      <c r="E58" s="320"/>
      <c r="F58" s="322">
        <v>4772343</v>
      </c>
      <c r="G58" s="320"/>
      <c r="H58" s="320"/>
      <c r="I58" s="322">
        <v>6108512</v>
      </c>
      <c r="J58" s="320"/>
      <c r="K58" s="322">
        <v>2064511</v>
      </c>
      <c r="L58" s="320"/>
      <c r="M58" s="323">
        <v>15237000</v>
      </c>
      <c r="N58" s="506" t="b">
        <f>M58=(C58+F58+I58+K58)</f>
        <v>1</v>
      </c>
    </row>
    <row r="59" spans="3:14" ht="15.75">
      <c r="C59" s="322"/>
      <c r="D59" s="320"/>
      <c r="E59" s="320"/>
      <c r="F59" s="322"/>
      <c r="G59" s="320"/>
      <c r="H59" s="320"/>
      <c r="I59" s="322"/>
      <c r="J59" s="320"/>
      <c r="K59" s="322"/>
      <c r="L59" s="320"/>
      <c r="M59" s="323"/>
      <c r="N59" s="506"/>
    </row>
    <row r="60" spans="2:14" ht="15.75">
      <c r="B60" s="1" t="s">
        <v>590</v>
      </c>
      <c r="C60" s="322">
        <v>552714</v>
      </c>
      <c r="D60" s="320"/>
      <c r="E60" s="320"/>
      <c r="F60" s="322">
        <v>1087240</v>
      </c>
      <c r="G60" s="320"/>
      <c r="H60" s="320"/>
      <c r="I60" s="322">
        <v>1550498</v>
      </c>
      <c r="J60" s="320"/>
      <c r="K60" s="322">
        <v>461548</v>
      </c>
      <c r="L60" s="320"/>
      <c r="M60" s="323">
        <v>3652000</v>
      </c>
      <c r="N60" s="506" t="b">
        <f>M60=(C60+F60+I60+K60)</f>
        <v>1</v>
      </c>
    </row>
    <row r="61" spans="3:14" ht="15.75"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506"/>
    </row>
    <row r="62" spans="2:14" ht="15.75">
      <c r="B62" s="1" t="s">
        <v>630</v>
      </c>
      <c r="C62" s="322">
        <v>26723</v>
      </c>
      <c r="D62" s="320"/>
      <c r="E62" s="320"/>
      <c r="F62" s="322">
        <v>22427</v>
      </c>
      <c r="G62" s="320"/>
      <c r="H62" s="320"/>
      <c r="I62" s="322">
        <v>26636</v>
      </c>
      <c r="J62" s="320"/>
      <c r="K62" s="322">
        <v>25214</v>
      </c>
      <c r="L62" s="320"/>
      <c r="M62" s="323">
        <v>101000</v>
      </c>
      <c r="N62" s="506" t="b">
        <f>M62=(C62+F62+I62+K62)</f>
        <v>1</v>
      </c>
    </row>
    <row r="63" spans="3:14" ht="15.75">
      <c r="C63" s="322"/>
      <c r="D63" s="320"/>
      <c r="E63" s="320"/>
      <c r="F63" s="322"/>
      <c r="G63" s="320"/>
      <c r="H63" s="320"/>
      <c r="I63" s="322"/>
      <c r="J63" s="320"/>
      <c r="K63" s="322"/>
      <c r="L63" s="320"/>
      <c r="M63" s="323"/>
      <c r="N63" s="506"/>
    </row>
    <row r="64" spans="2:14" ht="15.75">
      <c r="B64" s="1" t="s">
        <v>673</v>
      </c>
      <c r="C64" s="322">
        <v>598656</v>
      </c>
      <c r="D64" s="320"/>
      <c r="E64" s="320"/>
      <c r="F64" s="322">
        <v>949358</v>
      </c>
      <c r="G64" s="320"/>
      <c r="H64" s="320"/>
      <c r="I64" s="322">
        <v>2345777</v>
      </c>
      <c r="J64" s="320"/>
      <c r="K64" s="322">
        <v>556209</v>
      </c>
      <c r="L64" s="320"/>
      <c r="M64" s="323">
        <v>4450000</v>
      </c>
      <c r="N64" s="506" t="b">
        <f>M64=(C64+F64+I64+K64)</f>
        <v>1</v>
      </c>
    </row>
    <row r="65" spans="3:14" ht="15.75"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421"/>
      <c r="N65" s="507"/>
    </row>
    <row r="66" spans="2:14" ht="15.75">
      <c r="B66" s="1" t="s">
        <v>631</v>
      </c>
      <c r="C66" s="322">
        <f>C56+C58+C60+C62+C64</f>
        <v>4908485</v>
      </c>
      <c r="D66" s="320"/>
      <c r="E66" s="320"/>
      <c r="F66" s="322">
        <f>F56+F58+F60+F62+F64</f>
        <v>8665762</v>
      </c>
      <c r="G66" s="320"/>
      <c r="H66" s="320"/>
      <c r="I66" s="322">
        <f>I56+I58+I60+I62+I64</f>
        <v>11962052</v>
      </c>
      <c r="J66" s="320"/>
      <c r="K66" s="322">
        <f>K56+K58+K60+K62+K64</f>
        <v>4486704</v>
      </c>
      <c r="L66" s="320"/>
      <c r="M66" s="323">
        <f>M56+M58+M60+M62+M64</f>
        <v>30023003</v>
      </c>
      <c r="N66" s="506" t="b">
        <f>M66=(C66+F66+I66+K66)</f>
        <v>1</v>
      </c>
    </row>
    <row r="67" spans="3:13" ht="15.75"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321"/>
    </row>
    <row r="68" spans="3:20" s="321" customFormat="1" ht="15.75">
      <c r="C68" s="413"/>
      <c r="D68" s="414"/>
      <c r="E68" s="414"/>
      <c r="F68" s="413"/>
      <c r="G68" s="414"/>
      <c r="H68" s="414"/>
      <c r="I68" s="602"/>
      <c r="J68" s="603"/>
      <c r="K68" s="602"/>
      <c r="L68" s="414"/>
      <c r="M68" s="413"/>
      <c r="N68" s="412"/>
      <c r="O68" s="518"/>
      <c r="P68" s="515"/>
      <c r="Q68" s="515"/>
      <c r="R68" s="515"/>
      <c r="S68" s="515"/>
      <c r="T68" s="515"/>
    </row>
    <row r="69" spans="2:13" ht="15.75">
      <c r="B69" s="608">
        <f>'7.1'!E18</f>
        <v>82.93121665</v>
      </c>
      <c r="C69" s="609">
        <f>'7.1'!G18</f>
        <v>6.5080589799999995</v>
      </c>
      <c r="D69" s="14"/>
      <c r="E69" s="14"/>
      <c r="F69" s="609">
        <f>'7.1'!I18</f>
        <v>48.0605131</v>
      </c>
      <c r="G69" s="14"/>
      <c r="H69" s="14"/>
      <c r="I69" s="609">
        <f>'7.1'!K18</f>
        <v>18.63136865</v>
      </c>
      <c r="J69" s="609"/>
      <c r="K69" s="609">
        <f>'7.1'!M18</f>
        <v>9.73127592</v>
      </c>
      <c r="M69" s="604"/>
    </row>
    <row r="70" spans="2:20" s="415" customFormat="1" ht="12">
      <c r="B70" s="610"/>
      <c r="C70" s="610"/>
      <c r="D70" s="610"/>
      <c r="E70" s="610"/>
      <c r="F70" s="611"/>
      <c r="G70" s="611"/>
      <c r="H70" s="611"/>
      <c r="I70" s="612"/>
      <c r="J70" s="611"/>
      <c r="K70" s="612"/>
      <c r="L70" s="414"/>
      <c r="M70" s="416"/>
      <c r="O70" s="518"/>
      <c r="P70" s="518"/>
      <c r="Q70" s="518"/>
      <c r="R70" s="518"/>
      <c r="S70" s="518"/>
      <c r="T70" s="518"/>
    </row>
    <row r="71" spans="2:12" ht="15.75">
      <c r="B71" s="613" t="b">
        <f>B69=D43</f>
        <v>1</v>
      </c>
      <c r="C71" s="14"/>
      <c r="D71" s="14"/>
      <c r="E71" s="14"/>
      <c r="F71" s="14"/>
      <c r="G71" s="14"/>
      <c r="H71" s="509"/>
      <c r="I71" s="26"/>
      <c r="J71" s="26"/>
      <c r="K71" s="26"/>
      <c r="L71" s="26"/>
    </row>
    <row r="72" spans="2:12" ht="15.75">
      <c r="B72" s="14"/>
      <c r="C72" s="605">
        <f>F19-'7.1'!G18</f>
        <v>5.090147358029654</v>
      </c>
      <c r="D72" s="26"/>
      <c r="E72" s="26"/>
      <c r="F72" s="605">
        <f>F69-H21-H28-H31</f>
        <v>25.495692367197808</v>
      </c>
      <c r="G72" s="26"/>
      <c r="H72" s="26"/>
      <c r="I72" s="26"/>
      <c r="J72" s="26"/>
      <c r="K72" s="26"/>
      <c r="L72" s="26"/>
    </row>
    <row r="73" spans="3:12" ht="15.75">
      <c r="C73" s="26"/>
      <c r="D73" s="26"/>
      <c r="E73" s="26"/>
      <c r="F73" s="614">
        <f>F72-H36</f>
        <v>5.090147358029654</v>
      </c>
      <c r="G73" s="26"/>
      <c r="H73" s="26"/>
      <c r="I73" s="26"/>
      <c r="J73" s="26"/>
      <c r="K73" s="26"/>
      <c r="L73" s="26"/>
    </row>
    <row r="74" ht="15.75">
      <c r="L74" s="309">
        <f>'7.1'!K18-8!J19</f>
        <v>-14.738368098968962</v>
      </c>
    </row>
    <row r="75" spans="6:8" ht="15.75">
      <c r="F75" s="20"/>
      <c r="G75" s="20"/>
      <c r="H75" s="20"/>
    </row>
    <row r="76" spans="3:12" ht="15.75">
      <c r="C76" s="22"/>
      <c r="F76" s="23"/>
      <c r="H76" s="21"/>
      <c r="I76" s="21"/>
      <c r="J76" s="21"/>
      <c r="L76" s="28"/>
    </row>
    <row r="77" spans="3:8" ht="15.75">
      <c r="C77" s="14"/>
      <c r="H77" s="14"/>
    </row>
    <row r="82" spans="12:13" ht="15.75">
      <c r="L82" s="1">
        <v>41110.99798871078</v>
      </c>
      <c r="M82" s="1" t="s">
        <v>740</v>
      </c>
    </row>
    <row r="83" ht="15.75">
      <c r="L83" s="1">
        <f>L82/1000-F28-H28-J28</f>
        <v>8.23183616256034</v>
      </c>
    </row>
  </sheetData>
  <sheetProtection/>
  <mergeCells count="13">
    <mergeCell ref="N13:O13"/>
    <mergeCell ref="A16:A18"/>
    <mergeCell ref="B16:B18"/>
    <mergeCell ref="C16:L16"/>
    <mergeCell ref="M16:M18"/>
    <mergeCell ref="C17:D17"/>
    <mergeCell ref="E17:F17"/>
    <mergeCell ref="G17:H17"/>
    <mergeCell ref="I17:J17"/>
    <mergeCell ref="A14:M14"/>
    <mergeCell ref="K17:L17"/>
    <mergeCell ref="A51:M51"/>
    <mergeCell ref="A13:M13"/>
  </mergeCells>
  <printOptions/>
  <pageMargins left="0.59" right="0.2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0"/>
  <sheetViews>
    <sheetView view="pageBreakPreview" zoomScale="60" zoomScaleNormal="70" zoomScalePageLayoutView="0" workbookViewId="0" topLeftCell="A1">
      <pane xSplit="2" ySplit="18" topLeftCell="C19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Z10" sqref="Z10"/>
    </sheetView>
  </sheetViews>
  <sheetFormatPr defaultColWidth="9.00390625" defaultRowHeight="15.75"/>
  <cols>
    <col min="1" max="1" width="7.25390625" style="111" customWidth="1"/>
    <col min="2" max="2" width="34.375" style="111" customWidth="1"/>
    <col min="3" max="3" width="8.00390625" style="111" customWidth="1"/>
    <col min="4" max="4" width="8.375" style="111" customWidth="1"/>
    <col min="5" max="5" width="8.25390625" style="111" customWidth="1"/>
    <col min="6" max="6" width="7.875" style="111" customWidth="1"/>
    <col min="7" max="7" width="9.25390625" style="111" customWidth="1"/>
    <col min="8" max="8" width="7.75390625" style="111" customWidth="1"/>
    <col min="9" max="9" width="9.125" style="111" customWidth="1"/>
    <col min="10" max="10" width="8.375" style="111" customWidth="1"/>
    <col min="11" max="11" width="7.875" style="111" customWidth="1"/>
    <col min="12" max="12" width="8.25390625" style="111" customWidth="1"/>
    <col min="13" max="13" width="8.625" style="111" customWidth="1"/>
    <col min="14" max="14" width="9.125" style="111" customWidth="1"/>
    <col min="15" max="15" width="8.25390625" style="111" customWidth="1"/>
    <col min="16" max="16" width="7.75390625" style="111" customWidth="1"/>
    <col min="17" max="17" width="9.375" style="111" customWidth="1"/>
    <col min="18" max="18" width="8.125" style="111" customWidth="1"/>
    <col min="19" max="20" width="8.00390625" style="111" customWidth="1"/>
    <col min="21" max="21" width="8.875" style="111" customWidth="1"/>
    <col min="22" max="22" width="10.25390625" style="111" customWidth="1"/>
    <col min="23" max="16384" width="9.00390625" style="111" customWidth="1"/>
  </cols>
  <sheetData>
    <row r="1" spans="13:22" ht="15.75">
      <c r="M1" s="112"/>
      <c r="V1" s="199" t="s">
        <v>570</v>
      </c>
    </row>
    <row r="2" spans="13:22" ht="15.75">
      <c r="M2" s="112"/>
      <c r="V2" s="199" t="s">
        <v>37</v>
      </c>
    </row>
    <row r="3" spans="13:22" ht="15.75">
      <c r="M3" s="112"/>
      <c r="V3" s="303" t="s">
        <v>379</v>
      </c>
    </row>
    <row r="4" spans="13:22" ht="15.75">
      <c r="M4" s="112"/>
      <c r="V4" s="112"/>
    </row>
    <row r="5" spans="13:22" ht="33.75" customHeight="1">
      <c r="M5" s="112"/>
      <c r="V5" s="297" t="s">
        <v>38</v>
      </c>
    </row>
    <row r="6" spans="13:22" ht="18.75">
      <c r="M6" s="112"/>
      <c r="V6" s="297" t="s">
        <v>698</v>
      </c>
    </row>
    <row r="7" spans="13:22" ht="18.75">
      <c r="M7" s="112"/>
      <c r="V7" s="297"/>
    </row>
    <row r="8" spans="13:22" ht="18.75">
      <c r="M8" s="112"/>
      <c r="V8" s="297" t="s">
        <v>667</v>
      </c>
    </row>
    <row r="9" spans="13:22" ht="18.75">
      <c r="M9" s="112"/>
      <c r="V9" s="297" t="s">
        <v>748</v>
      </c>
    </row>
    <row r="10" spans="13:22" ht="18.75">
      <c r="M10" s="112"/>
      <c r="V10" s="297" t="s">
        <v>42</v>
      </c>
    </row>
    <row r="11" spans="1:22" ht="31.5" customHeight="1">
      <c r="A11" s="816" t="s">
        <v>725</v>
      </c>
      <c r="B11" s="817"/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17"/>
      <c r="R11" s="817"/>
      <c r="S11" s="817"/>
      <c r="T11" s="817"/>
      <c r="U11" s="817"/>
      <c r="V11" s="817"/>
    </row>
    <row r="12" spans="1:22" ht="33.75" customHeight="1">
      <c r="A12" s="818" t="s">
        <v>683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</row>
    <row r="14" spans="1:22" ht="15.75" customHeight="1">
      <c r="A14" s="819" t="s">
        <v>236</v>
      </c>
      <c r="B14" s="819" t="s">
        <v>290</v>
      </c>
      <c r="C14" s="820" t="s">
        <v>281</v>
      </c>
      <c r="D14" s="820"/>
      <c r="E14" s="820"/>
      <c r="F14" s="820"/>
      <c r="G14" s="820"/>
      <c r="H14" s="820"/>
      <c r="I14" s="820"/>
      <c r="J14" s="820"/>
      <c r="K14" s="820"/>
      <c r="L14" s="820"/>
      <c r="M14" s="820" t="s">
        <v>345</v>
      </c>
      <c r="N14" s="820"/>
      <c r="O14" s="820"/>
      <c r="P14" s="820"/>
      <c r="Q14" s="820"/>
      <c r="R14" s="820"/>
      <c r="S14" s="820"/>
      <c r="T14" s="820"/>
      <c r="U14" s="820"/>
      <c r="V14" s="820"/>
    </row>
    <row r="15" spans="1:22" ht="15.75" customHeight="1">
      <c r="A15" s="819"/>
      <c r="B15" s="819"/>
      <c r="C15" s="821" t="s">
        <v>343</v>
      </c>
      <c r="D15" s="821"/>
      <c r="E15" s="821"/>
      <c r="F15" s="821"/>
      <c r="G15" s="821"/>
      <c r="H15" s="821" t="s">
        <v>260</v>
      </c>
      <c r="I15" s="821"/>
      <c r="J15" s="821"/>
      <c r="K15" s="821"/>
      <c r="L15" s="821"/>
      <c r="M15" s="821" t="s">
        <v>343</v>
      </c>
      <c r="N15" s="821"/>
      <c r="O15" s="821"/>
      <c r="P15" s="821"/>
      <c r="Q15" s="821"/>
      <c r="R15" s="821" t="s">
        <v>260</v>
      </c>
      <c r="S15" s="821"/>
      <c r="T15" s="821"/>
      <c r="U15" s="821"/>
      <c r="V15" s="821"/>
    </row>
    <row r="16" spans="1:22" ht="15.75" customHeight="1">
      <c r="A16" s="819"/>
      <c r="B16" s="819"/>
      <c r="C16" s="813" t="s">
        <v>291</v>
      </c>
      <c r="D16" s="813"/>
      <c r="E16" s="813"/>
      <c r="F16" s="813"/>
      <c r="G16" s="813"/>
      <c r="H16" s="813" t="s">
        <v>291</v>
      </c>
      <c r="I16" s="813"/>
      <c r="J16" s="813"/>
      <c r="K16" s="813"/>
      <c r="L16" s="813"/>
      <c r="M16" s="813" t="s">
        <v>291</v>
      </c>
      <c r="N16" s="813"/>
      <c r="O16" s="813"/>
      <c r="P16" s="813"/>
      <c r="Q16" s="813"/>
      <c r="R16" s="813" t="s">
        <v>291</v>
      </c>
      <c r="S16" s="813"/>
      <c r="T16" s="813"/>
      <c r="U16" s="813"/>
      <c r="V16" s="813"/>
    </row>
    <row r="17" spans="1:22" ht="40.5" customHeight="1">
      <c r="A17" s="819"/>
      <c r="B17" s="819"/>
      <c r="C17" s="500" t="s">
        <v>624</v>
      </c>
      <c r="D17" s="500" t="s">
        <v>625</v>
      </c>
      <c r="E17" s="500" t="s">
        <v>626</v>
      </c>
      <c r="F17" s="696" t="s">
        <v>627</v>
      </c>
      <c r="G17" s="500" t="s">
        <v>628</v>
      </c>
      <c r="H17" s="500" t="s">
        <v>624</v>
      </c>
      <c r="I17" s="500" t="s">
        <v>625</v>
      </c>
      <c r="J17" s="500" t="s">
        <v>626</v>
      </c>
      <c r="K17" s="696" t="s">
        <v>627</v>
      </c>
      <c r="L17" s="500" t="s">
        <v>628</v>
      </c>
      <c r="M17" s="500" t="s">
        <v>624</v>
      </c>
      <c r="N17" s="500" t="s">
        <v>625</v>
      </c>
      <c r="O17" s="500" t="s">
        <v>626</v>
      </c>
      <c r="P17" s="696" t="s">
        <v>627</v>
      </c>
      <c r="Q17" s="500" t="s">
        <v>628</v>
      </c>
      <c r="R17" s="500" t="s">
        <v>624</v>
      </c>
      <c r="S17" s="500" t="s">
        <v>625</v>
      </c>
      <c r="T17" s="500" t="s">
        <v>626</v>
      </c>
      <c r="U17" s="696" t="s">
        <v>627</v>
      </c>
      <c r="V17" s="500" t="s">
        <v>628</v>
      </c>
    </row>
    <row r="18" spans="1:22" ht="15.75">
      <c r="A18" s="501">
        <v>1</v>
      </c>
      <c r="B18" s="501">
        <v>2</v>
      </c>
      <c r="C18" s="598">
        <v>3</v>
      </c>
      <c r="D18" s="598">
        <v>4</v>
      </c>
      <c r="E18" s="598">
        <v>5</v>
      </c>
      <c r="F18" s="697">
        <v>6</v>
      </c>
      <c r="G18" s="598">
        <v>7</v>
      </c>
      <c r="H18" s="598">
        <v>8</v>
      </c>
      <c r="I18" s="598">
        <v>9</v>
      </c>
      <c r="J18" s="598">
        <v>10</v>
      </c>
      <c r="K18" s="697">
        <v>11</v>
      </c>
      <c r="L18" s="598">
        <v>12</v>
      </c>
      <c r="M18" s="598">
        <v>13</v>
      </c>
      <c r="N18" s="598">
        <v>14</v>
      </c>
      <c r="O18" s="598">
        <v>15</v>
      </c>
      <c r="P18" s="697">
        <v>16</v>
      </c>
      <c r="Q18" s="598">
        <v>17</v>
      </c>
      <c r="R18" s="598">
        <v>18</v>
      </c>
      <c r="S18" s="598">
        <v>19</v>
      </c>
      <c r="T18" s="598">
        <v>20</v>
      </c>
      <c r="U18" s="697">
        <v>21</v>
      </c>
      <c r="V18" s="501">
        <v>22</v>
      </c>
    </row>
    <row r="19" spans="1:22" ht="55.5" customHeight="1">
      <c r="A19" s="499">
        <v>1</v>
      </c>
      <c r="B19" s="503" t="str">
        <f>'7.2'!B20</f>
        <v>Реконструкция электроснабжения с. Ковран (Установка модульной ДЭС в с. Ковран)</v>
      </c>
      <c r="C19" s="500"/>
      <c r="D19" s="500"/>
      <c r="E19" s="500" t="str">
        <f>G19</f>
        <v>0,6МВт</v>
      </c>
      <c r="F19" s="696"/>
      <c r="G19" s="500" t="s">
        <v>488</v>
      </c>
      <c r="H19" s="500" t="s">
        <v>655</v>
      </c>
      <c r="I19" s="500"/>
      <c r="J19" s="500"/>
      <c r="K19" s="696"/>
      <c r="L19" s="500"/>
      <c r="M19" s="500"/>
      <c r="N19" s="500"/>
      <c r="O19" s="500" t="str">
        <f>Q19</f>
        <v>нет</v>
      </c>
      <c r="P19" s="696"/>
      <c r="Q19" s="500" t="s">
        <v>634</v>
      </c>
      <c r="R19" s="500" t="s">
        <v>634</v>
      </c>
      <c r="S19" s="500"/>
      <c r="T19" s="500"/>
      <c r="U19" s="696"/>
      <c r="V19" s="499"/>
    </row>
    <row r="20" spans="1:22" ht="38.25" customHeight="1">
      <c r="A20" s="499">
        <v>2</v>
      </c>
      <c r="B20" s="503" t="str">
        <f>'7.2'!B21</f>
        <v>Строительство склада ГСМ в с. Ковран</v>
      </c>
      <c r="C20" s="500"/>
      <c r="D20" s="500"/>
      <c r="E20" s="500" t="str">
        <f>G20</f>
        <v>225м3</v>
      </c>
      <c r="F20" s="696"/>
      <c r="G20" s="500" t="s">
        <v>495</v>
      </c>
      <c r="H20" s="500"/>
      <c r="I20" s="500"/>
      <c r="J20" s="500" t="str">
        <f>E20</f>
        <v>225м3</v>
      </c>
      <c r="K20" s="696"/>
      <c r="L20" s="500" t="str">
        <f>J20</f>
        <v>225м3</v>
      </c>
      <c r="M20" s="500"/>
      <c r="N20" s="500"/>
      <c r="O20" s="500" t="str">
        <f>Q20</f>
        <v>нет</v>
      </c>
      <c r="P20" s="696"/>
      <c r="Q20" s="500" t="s">
        <v>634</v>
      </c>
      <c r="R20" s="500"/>
      <c r="S20" s="500"/>
      <c r="T20" s="500"/>
      <c r="U20" s="696"/>
      <c r="V20" s="499"/>
    </row>
    <row r="21" spans="1:22" ht="38.25" customHeight="1">
      <c r="A21" s="499">
        <v>3</v>
      </c>
      <c r="B21" s="503" t="str">
        <f>'7.2'!B22</f>
        <v>Строительство склада ГСМ в с. Вывенка</v>
      </c>
      <c r="C21" s="500"/>
      <c r="D21" s="500"/>
      <c r="E21" s="500"/>
      <c r="F21" s="696"/>
      <c r="G21" s="500"/>
      <c r="H21" s="500"/>
      <c r="I21" s="500"/>
      <c r="J21" s="500"/>
      <c r="K21" s="696"/>
      <c r="L21" s="500"/>
      <c r="M21" s="500"/>
      <c r="N21" s="500"/>
      <c r="O21" s="500"/>
      <c r="P21" s="696"/>
      <c r="Q21" s="500"/>
      <c r="R21" s="500"/>
      <c r="S21" s="500"/>
      <c r="T21" s="500"/>
      <c r="U21" s="696"/>
      <c r="V21" s="499"/>
    </row>
    <row r="22" spans="1:22" ht="33.75" customHeight="1">
      <c r="A22" s="499">
        <v>4</v>
      </c>
      <c r="B22" s="503" t="str">
        <f>'7.2'!B23</f>
        <v>Строительство склада ГСМ в с.Тиличики 1000м3</v>
      </c>
      <c r="C22" s="500"/>
      <c r="D22" s="500"/>
      <c r="E22" s="500"/>
      <c r="F22" s="696"/>
      <c r="G22" s="500"/>
      <c r="H22" s="500"/>
      <c r="I22" s="500"/>
      <c r="J22" s="500"/>
      <c r="K22" s="696"/>
      <c r="L22" s="500"/>
      <c r="M22" s="500"/>
      <c r="N22" s="500"/>
      <c r="O22" s="500"/>
      <c r="P22" s="696"/>
      <c r="Q22" s="500"/>
      <c r="R22" s="500"/>
      <c r="S22" s="500"/>
      <c r="T22" s="500"/>
      <c r="U22" s="696"/>
      <c r="V22" s="499"/>
    </row>
    <row r="23" spans="1:22" ht="35.25" customHeight="1">
      <c r="A23" s="499">
        <v>5</v>
      </c>
      <c r="B23" s="503" t="str">
        <f>'7.2'!B24</f>
        <v>Строительство базового склада ГСМ 400м3 в с. Апука</v>
      </c>
      <c r="C23" s="500"/>
      <c r="D23" s="500"/>
      <c r="E23" s="500" t="str">
        <f>G23</f>
        <v>400м3</v>
      </c>
      <c r="F23" s="696"/>
      <c r="G23" s="500" t="s">
        <v>497</v>
      </c>
      <c r="H23" s="500"/>
      <c r="I23" s="500"/>
      <c r="J23" s="500" t="str">
        <f>E23</f>
        <v>400м3</v>
      </c>
      <c r="K23" s="696"/>
      <c r="L23" s="500" t="str">
        <f>J23</f>
        <v>400м3</v>
      </c>
      <c r="M23" s="500"/>
      <c r="N23" s="500"/>
      <c r="O23" s="500" t="str">
        <f>Q23</f>
        <v>250м3</v>
      </c>
      <c r="P23" s="696"/>
      <c r="Q23" s="500" t="s">
        <v>633</v>
      </c>
      <c r="R23" s="500"/>
      <c r="S23" s="500"/>
      <c r="T23" s="500" t="s">
        <v>739</v>
      </c>
      <c r="U23" s="696"/>
      <c r="V23" s="500" t="str">
        <f>T23</f>
        <v>21м3</v>
      </c>
    </row>
    <row r="24" spans="1:22" ht="53.25" customHeight="1">
      <c r="A24" s="499">
        <v>6</v>
      </c>
      <c r="B24" s="503" t="str">
        <f>'7.2'!B25</f>
        <v>Реконструкция электроснабжения с. Пахачи (Строительство ДЭС в п. Пахачи)</v>
      </c>
      <c r="C24" s="500"/>
      <c r="D24" s="500"/>
      <c r="E24" s="500"/>
      <c r="F24" s="696"/>
      <c r="G24" s="500"/>
      <c r="H24" s="500"/>
      <c r="I24" s="500"/>
      <c r="J24" s="500"/>
      <c r="K24" s="696"/>
      <c r="L24" s="500"/>
      <c r="M24" s="500"/>
      <c r="N24" s="500"/>
      <c r="O24" s="500"/>
      <c r="P24" s="696"/>
      <c r="Q24" s="500"/>
      <c r="R24" s="500"/>
      <c r="S24" s="500"/>
      <c r="T24" s="500"/>
      <c r="U24" s="696"/>
      <c r="V24" s="499"/>
    </row>
    <row r="25" spans="1:22" ht="57" customHeight="1">
      <c r="A25" s="502">
        <v>7</v>
      </c>
      <c r="B25" s="503" t="str">
        <f>'7.2'!B26</f>
        <v>Реконструкция электроснабжения с. Усть-Хайрюзово (техническое перевооружение ДЭС)</v>
      </c>
      <c r="C25" s="572"/>
      <c r="D25" s="572"/>
      <c r="E25" s="572"/>
      <c r="F25" s="698"/>
      <c r="G25" s="572"/>
      <c r="H25" s="572"/>
      <c r="I25" s="572"/>
      <c r="J25" s="572"/>
      <c r="K25" s="698"/>
      <c r="L25" s="572"/>
      <c r="M25" s="572"/>
      <c r="N25" s="572"/>
      <c r="O25" s="572"/>
      <c r="P25" s="698"/>
      <c r="Q25" s="572"/>
      <c r="R25" s="572"/>
      <c r="S25" s="572"/>
      <c r="T25" s="572"/>
      <c r="U25" s="698"/>
      <c r="V25" s="502"/>
    </row>
    <row r="26" spans="1:22" ht="36.75" customHeight="1">
      <c r="A26" s="502">
        <v>8</v>
      </c>
      <c r="B26" s="503" t="str">
        <f>'7.2'!B27</f>
        <v>Установка одного ДГУ на ДЭС-16 п.Средние Пахачи</v>
      </c>
      <c r="C26" s="572"/>
      <c r="D26" s="572"/>
      <c r="E26" s="572"/>
      <c r="F26" s="698"/>
      <c r="G26" s="572"/>
      <c r="H26" s="572"/>
      <c r="I26" s="572"/>
      <c r="J26" s="572"/>
      <c r="K26" s="698"/>
      <c r="L26" s="572"/>
      <c r="M26" s="572"/>
      <c r="N26" s="572"/>
      <c r="O26" s="572"/>
      <c r="P26" s="698"/>
      <c r="Q26" s="572"/>
      <c r="R26" s="572"/>
      <c r="S26" s="572"/>
      <c r="T26" s="572"/>
      <c r="U26" s="698"/>
      <c r="V26" s="502"/>
    </row>
    <row r="27" spans="1:22" ht="35.25" customHeight="1" hidden="1">
      <c r="A27" s="572">
        <v>9</v>
      </c>
      <c r="B27" s="573">
        <f>'7.2'!B28</f>
        <v>0</v>
      </c>
      <c r="C27" s="593"/>
      <c r="D27" s="572"/>
      <c r="E27" s="572"/>
      <c r="F27" s="572"/>
      <c r="G27" s="572"/>
      <c r="H27" s="593"/>
      <c r="I27" s="572"/>
      <c r="J27" s="572"/>
      <c r="K27" s="572"/>
      <c r="L27" s="572"/>
      <c r="M27" s="593"/>
      <c r="N27" s="572"/>
      <c r="O27" s="572"/>
      <c r="P27" s="572"/>
      <c r="Q27" s="572"/>
      <c r="R27" s="593"/>
      <c r="S27" s="572"/>
      <c r="T27" s="572"/>
      <c r="U27" s="572"/>
      <c r="V27" s="572"/>
    </row>
    <row r="28" spans="1:22" ht="42" customHeight="1" hidden="1">
      <c r="A28" s="572">
        <v>10</v>
      </c>
      <c r="B28" s="573">
        <f>'7.2'!B29</f>
        <v>0</v>
      </c>
      <c r="C28" s="593"/>
      <c r="D28" s="572"/>
      <c r="E28" s="572"/>
      <c r="F28" s="572"/>
      <c r="G28" s="572"/>
      <c r="H28" s="593"/>
      <c r="I28" s="572"/>
      <c r="J28" s="572"/>
      <c r="K28" s="572"/>
      <c r="L28" s="572"/>
      <c r="M28" s="593"/>
      <c r="N28" s="572"/>
      <c r="O28" s="572"/>
      <c r="P28" s="572"/>
      <c r="Q28" s="572"/>
      <c r="R28" s="593"/>
      <c r="S28" s="572"/>
      <c r="T28" s="572"/>
      <c r="U28" s="572"/>
      <c r="V28" s="572"/>
    </row>
    <row r="29" spans="1:22" ht="15.75">
      <c r="A29" s="574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6"/>
    </row>
    <row r="30" ht="15.75">
      <c r="B30" s="111" t="s">
        <v>342</v>
      </c>
    </row>
    <row r="32" spans="3:19" ht="15.75">
      <c r="C32" s="814" t="s">
        <v>663</v>
      </c>
      <c r="D32" s="814"/>
      <c r="E32" s="814"/>
      <c r="F32" s="814"/>
      <c r="G32" s="814"/>
      <c r="H32" s="814"/>
      <c r="I32" s="814"/>
      <c r="J32" s="814"/>
      <c r="K32" s="814"/>
      <c r="L32" s="814"/>
      <c r="M32" s="814"/>
      <c r="N32" s="814"/>
      <c r="O32" s="814"/>
      <c r="P32" s="814"/>
      <c r="Q32" s="814"/>
      <c r="R32" s="814"/>
      <c r="S32" s="814"/>
    </row>
    <row r="33" spans="13:16" ht="15.75">
      <c r="M33" s="346"/>
      <c r="N33" s="815"/>
      <c r="O33" s="815"/>
      <c r="P33" s="346"/>
    </row>
    <row r="34" spans="13:16" ht="15.75">
      <c r="M34" s="346"/>
      <c r="N34" s="346"/>
      <c r="O34" s="346"/>
      <c r="P34" s="346"/>
    </row>
    <row r="35" ht="15.75">
      <c r="A35" s="394"/>
    </row>
    <row r="37" ht="15.75">
      <c r="A37" s="334"/>
    </row>
    <row r="38" spans="1:22" ht="15.75">
      <c r="A38" s="478"/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</row>
    <row r="39" spans="1:22" ht="15.75">
      <c r="A39" s="478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</row>
    <row r="40" spans="1:22" ht="15.75">
      <c r="A40" s="478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</row>
    <row r="41" spans="1:22" ht="15.75">
      <c r="A41" s="478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</row>
    <row r="42" spans="1:22" ht="15.75">
      <c r="A42" s="478"/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</row>
    <row r="43" spans="1:22" ht="15.75">
      <c r="A43" s="478"/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</row>
    <row r="44" spans="1:22" ht="15.75">
      <c r="A44" s="478"/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</row>
    <row r="45" spans="1:22" ht="15.75">
      <c r="A45" s="478"/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</row>
    <row r="46" spans="1:22" ht="15.75">
      <c r="A46" s="478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</row>
    <row r="47" spans="1:22" ht="15.75">
      <c r="A47" s="478"/>
      <c r="B47" s="478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</row>
    <row r="48" spans="1:22" ht="15.75">
      <c r="A48" s="478"/>
      <c r="B48" s="4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78"/>
    </row>
    <row r="49" spans="1:22" ht="15.75">
      <c r="A49" s="478"/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</row>
    <row r="50" spans="1:22" ht="15.75">
      <c r="A50" s="478"/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</row>
    <row r="51" spans="1:22" ht="15.75">
      <c r="A51" s="478"/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</row>
    <row r="52" spans="1:22" ht="15.75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</row>
    <row r="53" spans="1:22" ht="15.75">
      <c r="A53" s="478"/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</row>
    <row r="54" spans="1:22" ht="15.75">
      <c r="A54" s="478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</row>
    <row r="55" spans="1:22" ht="15.75">
      <c r="A55" s="478"/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</row>
    <row r="56" spans="1:22" ht="15.75">
      <c r="A56" s="478"/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</row>
    <row r="57" spans="1:22" ht="15.75">
      <c r="A57" s="478"/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</row>
    <row r="58" spans="1:22" ht="15.75">
      <c r="A58" s="478"/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</row>
    <row r="59" spans="1:22" ht="15.75">
      <c r="A59" s="478"/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</row>
    <row r="60" spans="1:22" ht="15.75">
      <c r="A60" s="478"/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</row>
  </sheetData>
  <sheetProtection/>
  <mergeCells count="16">
    <mergeCell ref="A11:V11"/>
    <mergeCell ref="A12:V12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H16:L16"/>
    <mergeCell ref="M16:Q16"/>
    <mergeCell ref="R16:V16"/>
    <mergeCell ref="C32:S32"/>
    <mergeCell ref="N33:O33"/>
  </mergeCells>
  <printOptions/>
  <pageMargins left="0.38" right="0.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Корякэнерго</cp:lastModifiedBy>
  <cp:lastPrinted>2016-03-21T01:57:23Z</cp:lastPrinted>
  <dcterms:created xsi:type="dcterms:W3CDTF">2009-07-27T10:10:26Z</dcterms:created>
  <dcterms:modified xsi:type="dcterms:W3CDTF">2016-03-21T19:53:32Z</dcterms:modified>
  <cp:category/>
  <cp:version/>
  <cp:contentType/>
  <cp:contentStatus/>
</cp:coreProperties>
</file>