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4.фин. обеспеч. " sheetId="1" state="visible" r:id="rId2"/>
    <sheet name="4.фин. обеспеч.  135 млн (2)" sheetId="2" state="hidden" r:id="rId3"/>
    <sheet name="15 внебюджет" sheetId="3" state="hidden" r:id="rId4"/>
  </sheets>
  <definedNames>
    <definedName function="false" hidden="false" localSheetId="0" name="_xlnm.Print_Area" vbProcedure="false">'4.фин. обеспеч. '!$A$1:$R$553</definedName>
    <definedName function="false" hidden="true" localSheetId="0" name="_xlnm._FilterDatabase" vbProcedure="false">'4.фин. обеспеч. '!$A$10:$AA$553</definedName>
    <definedName function="false" hidden="false" localSheetId="1" name="_xlnm.Print_Area" vbProcedure="false">'4.фин. обеспеч.  135 млн (2)'!$A$2:$T$257</definedName>
    <definedName function="false" hidden="false" name="_xlfn.IFERROR" vbProcedure="false">#NAME?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<sst xmlns="http://schemas.openxmlformats.org/spreadsheetml/2006/main" count="1447" uniqueCount="268">
  <si>
    <t xml:space="preserve">Приложение к приложению к постановлению Правительства Камчатского края</t>
  </si>
  <si>
    <t xml:space="preserve">«Приложение 3
к Программе </t>
  </si>
  <si>
    <t xml:space="preserve">Финансовое обеспечение реализации государственной программы Камчатского края «Развитие образования в Камчатском крае»</t>
  </si>
  <si>
    <t xml:space="preserve">№ п/п</t>
  </si>
  <si>
    <t xml:space="preserve">Наименование государственной программы / подпрограммы / мероприятия</t>
  </si>
  <si>
    <t xml:space="preserve">Код бюджетной классификации </t>
  </si>
  <si>
    <t xml:space="preserve">Объем средств на реализацию программы, тыс.рублей</t>
  </si>
  <si>
    <t xml:space="preserve">ГРБС</t>
  </si>
  <si>
    <t xml:space="preserve">ЦСР </t>
  </si>
  <si>
    <t xml:space="preserve">ВСЕГО</t>
  </si>
  <si>
    <t xml:space="preserve">2014 год</t>
  </si>
  <si>
    <t xml:space="preserve"> 2015 год </t>
  </si>
  <si>
    <t xml:space="preserve">2016 год</t>
  </si>
  <si>
    <t xml:space="preserve">2017 год</t>
  </si>
  <si>
    <t xml:space="preserve">2018 год</t>
  </si>
  <si>
    <t xml:space="preserve">2019 год</t>
  </si>
  <si>
    <t xml:space="preserve">2020 год</t>
  </si>
  <si>
    <t xml:space="preserve">2021 год</t>
  </si>
  <si>
    <t xml:space="preserve">2022 год</t>
  </si>
  <si>
    <t xml:space="preserve">2023 год</t>
  </si>
  <si>
    <t xml:space="preserve">2024 год</t>
  </si>
  <si>
    <t xml:space="preserve">2025 год</t>
  </si>
  <si>
    <t xml:space="preserve">2022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</si>
  <si>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</si>
  <si>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</si>
  <si>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</si>
  <si>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</si>
  <si>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</si>
  <si>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1.</t>
  </si>
  <si>
    <t xml:space="preserve">Государственная программа Камчатского края «Развитие образования в Камчатском крае»</t>
  </si>
  <si>
    <t xml:space="preserve">Всего, в том числе:</t>
  </si>
  <si>
    <t xml:space="preserve">за счет средств федерального бюджета</t>
  </si>
  <si>
    <t xml:space="preserve">за счет средств краевого бюджета</t>
  </si>
  <si>
    <t xml:space="preserve">за счет средств местных бюджетов</t>
  </si>
  <si>
    <t xml:space="preserve">за счет средств внебюджетных фондов</t>
  </si>
  <si>
    <t xml:space="preserve">за счет средств юридических лиц</t>
  </si>
  <si>
    <t xml:space="preserve">Кроме того, планируемые объемы обязательств федерального бюджета </t>
  </si>
  <si>
    <t xml:space="preserve">Кроме того, планируемые объемы обязательств краевого бюджета </t>
  </si>
  <si>
    <t xml:space="preserve">2.</t>
  </si>
  <si>
    <t xml:space="preserve">Подпрограмма 1  «Развитие дошкольного, общего образования и дополнительного образования детей в Камчатском крае»</t>
  </si>
  <si>
    <t xml:space="preserve">3.</t>
  </si>
  <si>
    <t xml:space="preserve">Основное мероприятие 1.1 «Развитие дошкольного образования» </t>
  </si>
  <si>
    <t xml:space="preserve">813</t>
  </si>
  <si>
    <t xml:space="preserve">021</t>
  </si>
  <si>
    <t xml:space="preserve">4.</t>
  </si>
  <si>
    <t xml:space="preserve">Основное мероприятие 1.2  «Развитие общего образования»</t>
  </si>
  <si>
    <t xml:space="preserve">5.</t>
  </si>
  <si>
    <t xml:space="preserve">Основное мероприятие 1.3 «Развитие сферы дополнительного образования, реабилитации и социализации детей»</t>
  </si>
  <si>
    <t xml:space="preserve">814</t>
  </si>
  <si>
    <t xml:space="preserve">815</t>
  </si>
  <si>
    <t xml:space="preserve">6.</t>
  </si>
  <si>
    <t xml:space="preserve">Основное мероприятие 1.4 «Выявление, поддержка и сопровождение одаренных детей и молодежи»</t>
  </si>
  <si>
    <t xml:space="preserve">7.</t>
  </si>
  <si>
    <t xml:space="preserve">Основное мероприятие 1.5 «Развитие кадрового потенциала системы дошкольного, общего и дополнительного образования детей,  в том числе проведение конкурсов профессионального мастерства педагогических работников»</t>
  </si>
  <si>
    <t xml:space="preserve">8.</t>
  </si>
  <si>
    <t xml:space="preserve">Основное мероприятие 1.6 «Сохранение и укрепление здоровья учащихся и воспитанников»</t>
  </si>
  <si>
    <t xml:space="preserve">9.</t>
  </si>
  <si>
    <t xml:space="preserve">Основное мероприятие 1.7 «Развитие инфраструктуры дошкольного, общего образования, дополнительного образования детей и сферы реабилитации и социализации детей»</t>
  </si>
  <si>
    <t xml:space="preserve">812</t>
  </si>
  <si>
    <t xml:space="preserve">822</t>
  </si>
  <si>
    <t xml:space="preserve">10.</t>
  </si>
  <si>
    <t xml:space="preserve">Основное мероприятие 1.8 «Социальные гарантии работникам подведомственных организаций»</t>
  </si>
  <si>
    <t xml:space="preserve">11.</t>
  </si>
  <si>
    <t xml:space="preserve">Основное мероприятие 1.9 «Обеспечение социальной поддержки обучающихся»</t>
  </si>
  <si>
    <t xml:space="preserve">12.</t>
  </si>
  <si>
    <t xml:space="preserve">1.10 Е1 Региональный проект «Современная школа», в том числе:</t>
  </si>
  <si>
    <t xml:space="preserve">13.</t>
  </si>
  <si>
    <t xml:space="preserve">Мероприятие 1.10.1 Создание и обеспечение функционирования центров образования естественно-научной и технологической направленностей в общеобразовательных
организациях, расположенных в сельской местности и малых городах</t>
  </si>
  <si>
    <t xml:space="preserve">14.</t>
  </si>
  <si>
    <t xml:space="preserve">Мероприятие 1.10.2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</si>
  <si>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 xml:space="preserve">15.</t>
  </si>
  <si>
    <t xml:space="preserve">Мероприятие 1.10.3 Создание новых мест в общеобразовательных организациях (продолжение реализации приоритетного проекта "Современная образовательная среда для школьников")</t>
  </si>
  <si>
    <t xml:space="preserve">16.</t>
  </si>
  <si>
    <t xml:space="preserve">Мероприятие 1.10.4 На реализацию мероприятий по содействию созданию в субъектах Российской Федерации (исходя из прогнозируемой потребности) новых мест в общеобразовательных организациях, расположенных в сельской местности и поселках городского типа</t>
  </si>
  <si>
    <t xml:space="preserve">17.</t>
  </si>
  <si>
    <t xml:space="preserve">Мероприятие 1.10.5 Создание новых мест в общеобразовательных организациях, расположенных в сельской местности и поселках городского типа</t>
  </si>
  <si>
    <t xml:space="preserve">18.</t>
  </si>
  <si>
    <t xml:space="preserve">Мероприятие 1.10.6 Реализация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</si>
  <si>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19.</t>
  </si>
  <si>
    <t xml:space="preserve">Мероприятие 1.10.7 Реализация мероприятий по формированию и обеспечению функционирования единой федеральной системы научно-методического сопровождения педагогических работников и управленческих кадров</t>
  </si>
  <si>
    <t xml:space="preserve">20.</t>
  </si>
  <si>
    <t xml:space="preserve">Мероприятие 1.10.8 Создание детских технопарков "Кванториум"</t>
  </si>
  <si>
    <t xml:space="preserve">21.</t>
  </si>
  <si>
    <t xml:space="preserve">Мероприятие 1.10.9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человек.</t>
  </si>
  <si>
    <t xml:space="preserve">22.</t>
  </si>
  <si>
    <t xml:space="preserve">1.11 Е2 Региональный проект «Успех каждого ребенка», в том числе:</t>
  </si>
  <si>
    <t xml:space="preserve">23.</t>
  </si>
  <si>
    <t xml:space="preserve">Мероприятие 1.11.1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</si>
  <si>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24.</t>
  </si>
  <si>
    <t xml:space="preserve">Мероприятие 1.11.2 Создание мобильных технопарков "Кванториум"</t>
  </si>
  <si>
    <t xml:space="preserve">25.</t>
  </si>
  <si>
    <t xml:space="preserve">Мероприятие 1.11.3 Формирование современных управленческих и организационно-экономических механизмов в системе дополнительного образования детей</t>
  </si>
  <si>
    <t xml:space="preserve">26.</t>
  </si>
  <si>
    <t xml:space="preserve">Мероприятие 1.11.4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</si>
  <si>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27.</t>
  </si>
  <si>
    <t xml:space="preserve">Мероприятие 1.11.5 Внедрение целевой модели развития региональных систем дополнительного образования детей</t>
  </si>
  <si>
    <t xml:space="preserve">28.</t>
  </si>
  <si>
    <t xml:space="preserve">Мероприятие 1.11.6 Создание центров выявления и поддержки одаренных детей</t>
  </si>
  <si>
    <t xml:space="preserve">29.</t>
  </si>
  <si>
    <t xml:space="preserve">1.12 Е3 Региональный проект «Поддержка семей, имеющих детей»</t>
  </si>
  <si>
    <t xml:space="preserve">30.</t>
  </si>
  <si>
    <t xml:space="preserve">1.13 Р2 Региональный проект «Содействие занятости», в том числе:</t>
  </si>
  <si>
    <t xml:space="preserve">резервный фонд</t>
  </si>
  <si>
    <t xml:space="preserve">31.</t>
  </si>
  <si>
    <t xml:space="preserve">Мероприятие 1.13.1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</si>
  <si>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32.</t>
  </si>
  <si>
    <t xml:space="preserve">Мероприятие 1.13.2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</si>
  <si>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33.</t>
  </si>
  <si>
    <t xml:space="preserve">Мероприятие 1.13.3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</si>
  <si>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 xml:space="preserve">34.</t>
  </si>
  <si>
    <t xml:space="preserve">Основное мероприятие 1.14 «Реализация отдельных мероприятий государственных программ Российской Федерации путем софинансирования из средств  краевого бюджета грантов, полученных из федерального бюджета победителями конкурсного отбора»</t>
  </si>
  <si>
    <t xml:space="preserve">35.</t>
  </si>
  <si>
    <t xml:space="preserve">1.15 Региональный проект «Модернизация школьных систем образования в Камчатском крае»</t>
  </si>
  <si>
    <t xml:space="preserve">36.</t>
  </si>
  <si>
    <t xml:space="preserve">Подпрограмма 2 «Развитие профессионального образования в Камчатском крае»
</t>
  </si>
  <si>
    <t xml:space="preserve">022</t>
  </si>
  <si>
    <t xml:space="preserve">816</t>
  </si>
  <si>
    <t xml:space="preserve">862</t>
  </si>
  <si>
    <t xml:space="preserve">37.</t>
  </si>
  <si>
    <t xml:space="preserve">Основное мероприятие 2.1 «Реализация образовательных программ среднего профессионального образования и профессионального обучения на основе государственного задания с учетом выхода на «эффективный контракт» с педагогическими работниками»</t>
  </si>
  <si>
    <t xml:space="preserve">38.</t>
  </si>
  <si>
    <t xml:space="preserve">Основное мероприятие 2.2 «Формирование современной структуры сети профессиональных образовательных организаций, отражающей изменения в потребностях экономики и запросах населения. Повышение качества среднего профессионального образования»</t>
  </si>
  <si>
    <t xml:space="preserve">39.</t>
  </si>
  <si>
    <t xml:space="preserve">Основное мероприятие 2.3 «Опережающее развитие научной, культурной, спортивной составляющей профессионального образования»</t>
  </si>
  <si>
    <t xml:space="preserve">847</t>
  </si>
  <si>
    <t xml:space="preserve">40.</t>
  </si>
  <si>
    <t xml:space="preserve">Основное мероприятие 2.4 «Развитие кадрового потенциала системы среднего профессионального образования»</t>
  </si>
  <si>
    <t xml:space="preserve">41.</t>
  </si>
  <si>
    <t xml:space="preserve">Основное мероприятие 2.5 «Развитие региональной системы дополнительного профессионального образования»</t>
  </si>
  <si>
    <t xml:space="preserve">42.</t>
  </si>
  <si>
    <t xml:space="preserve">Основное мероприятие 2.6 «Обеспечение социальной поддержки обучающихся по программам среднего профессионального образования и профессиональной подготовки»</t>
  </si>
  <si>
    <t xml:space="preserve">43.</t>
  </si>
  <si>
    <t xml:space="preserve">Основное мероприятие 2.7 «Модернизация инфраструктуры системы профессионального образования»</t>
  </si>
  <si>
    <t xml:space="preserve">44.</t>
  </si>
  <si>
    <t xml:space="preserve">Основное мероприятие 2.8 «Социальные гарантии работникам подведомственных профессиональных образовательных организаций»</t>
  </si>
  <si>
    <t xml:space="preserve">45.</t>
  </si>
  <si>
    <t xml:space="preserve">Основное мероприятие 2.9 «Предоставление субсидий из краевого бюджета частным образовательным организациям, осуществляющим образовательную деятельность по образовательным программам среднего профессионального образования, в Камчатском крае»</t>
  </si>
  <si>
    <t xml:space="preserve">46.</t>
  </si>
  <si>
    <t xml:space="preserve">Основное мероприятие 2.10 «Сопровождение инвалидов молодого возраста при получении ими профессионального образования»</t>
  </si>
  <si>
    <t xml:space="preserve">47.</t>
  </si>
  <si>
    <t xml:space="preserve">2.11 Е5 Региональный проект «Учитель будущего», в том числе:</t>
  </si>
  <si>
    <t xml:space="preserve">48.</t>
  </si>
  <si>
    <t xml:space="preserve">Мероприятие 2.11.1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</t>
  </si>
  <si>
    <t xml:space="preserve">49.</t>
  </si>
  <si>
    <t xml:space="preserve">2.12 Е6 Региональный проект «Молодые профессионалы (Повышение конкурентоспособности профессионального образования)»</t>
  </si>
  <si>
    <t xml:space="preserve">50.</t>
  </si>
  <si>
    <t xml:space="preserve">2.13 Е7 Региональный проект «Новые возможности для каждого»</t>
  </si>
  <si>
    <t xml:space="preserve">51.</t>
  </si>
  <si>
    <t xml:space="preserve">Основное мероприятие 2.14 «Предоставление грантов в форме субсидий из краевого бюджета организациям, осуществляющим образовательную деятельность по образовательным программам среднего </t>
  </si>
  <si>
    <t xml:space="preserve">023</t>
  </si>
  <si>
    <t xml:space="preserve">профессионального образования, находящимся в ведении федеральных органов государственной власти, на финансовое обеспечение обучения граждан Российской Федерации по образовательным программам среднего профессионального образования»</t>
  </si>
  <si>
    <t xml:space="preserve">52.</t>
  </si>
  <si>
    <t xml:space="preserve">2.15 6D Региональный проект "Профессионалитет"
</t>
  </si>
  <si>
    <t xml:space="preserve">024</t>
  </si>
  <si>
    <t xml:space="preserve">53.</t>
  </si>
  <si>
    <t xml:space="preserve">Подпрограмма 3 «Развитие региональной системы оценки качества образования и информационной прозрачности системы образования Камчатского края»</t>
  </si>
  <si>
    <t xml:space="preserve">54.</t>
  </si>
  <si>
    <t xml:space="preserve">Основное мероприятие 3.1 «Обеспечение деятельности отдела контроля и надзора Министерства образования Камчатского края»</t>
  </si>
  <si>
    <t xml:space="preserve">55.</t>
  </si>
  <si>
    <t xml:space="preserve">Основное мероприятие 3.2 «Формирование и развитие региональной системы оценки качества образования»</t>
  </si>
  <si>
    <t xml:space="preserve">56.</t>
  </si>
  <si>
    <t xml:space="preserve">Основное мероприятие 3.3 «Развитие механизмов обратной связи в образовании как части региональной системы оценки качества образования»</t>
  </si>
  <si>
    <t xml:space="preserve">57.</t>
  </si>
  <si>
    <t xml:space="preserve">3.4 Е4 Региональный проект «Цифровая образовательная среда», в том числе:</t>
  </si>
  <si>
    <t xml:space="preserve">58.</t>
  </si>
  <si>
    <t xml:space="preserve">Мероприятие 3.4.1 Обеспечение образовательных организаций материально-технической базой для внедрения цифровой образовательной среды</t>
  </si>
  <si>
    <t xml:space="preserve">59.</t>
  </si>
  <si>
    <t xml:space="preserve">Мероприятие 3.4.2 Создание центров цифрового образования детей</t>
  </si>
  <si>
    <t xml:space="preserve">60.</t>
  </si>
  <si>
    <t xml:space="preserve">Подпрограмма 4 «Поддержка научной деятельности в Камчатском крае»</t>
  </si>
  <si>
    <t xml:space="preserve">025</t>
  </si>
  <si>
    <t xml:space="preserve">61.</t>
  </si>
  <si>
    <t xml:space="preserve">Основное мероприятие 4.1 «Содействие ученым Камчатки по участию в мероприятиях, способствующих развитию научного потенциала региона»</t>
  </si>
  <si>
    <t xml:space="preserve">62.</t>
  </si>
  <si>
    <t xml:space="preserve">Основное мероприятие 4.2 «Информационное сопровождение мероприятий, способствующих развитию научного потенциала Камчатки»</t>
  </si>
  <si>
    <t xml:space="preserve">63.</t>
  </si>
  <si>
    <t xml:space="preserve">Основное мероприятие 4.3 «Предоставление субсидии из краевого бюджета Автономной некоммерческой организации «Образовательно-научный центр «Ойкумена (Обитаемая земля)» в целях финансового обеспечения затрат, связанных с оказанием услуг в сфере образования»</t>
  </si>
  <si>
    <t xml:space="preserve">64.</t>
  </si>
  <si>
    <t xml:space="preserve">Основное мероприятие 4.4 «Реализация государственной научно-технической политики и государственной поддержки инновационной деятельности»</t>
  </si>
  <si>
    <t xml:space="preserve">65.</t>
  </si>
  <si>
    <t xml:space="preserve">Подпрограмма 5 «Обеспечение реализации Программы»</t>
  </si>
  <si>
    <t xml:space="preserve">026</t>
  </si>
  <si>
    <t xml:space="preserve">66.</t>
  </si>
  <si>
    <t xml:space="preserve">Основное мероприятие 5.1 «Организационное, аналитическое, информационное обеспечение реализации Программы»</t>
  </si>
  <si>
    <t xml:space="preserve">67.</t>
  </si>
  <si>
    <t xml:space="preserve">Основное мероприятие 5.2 «Другие вопросы в области образования»</t>
  </si>
  <si>
    <t xml:space="preserve">68.</t>
  </si>
  <si>
    <t xml:space="preserve">Подпрограмма 6 «Организация отдыха и оздоровления детей в Камчатском крае»</t>
  </si>
  <si>
    <t xml:space="preserve">027</t>
  </si>
  <si>
    <t xml:space="preserve">850</t>
  </si>
  <si>
    <t xml:space="preserve">69.</t>
  </si>
  <si>
    <t xml:space="preserve">Основное мероприятие 6.1 «Мероприятия по повышению качества услуг, предоставляемых организациями отдыха детей и их оздоровления»</t>
  </si>
  <si>
    <t xml:space="preserve">70.</t>
  </si>
  <si>
    <t xml:space="preserve">Основное мероприятие 6.2 «Обеспечение отдыха и оздоровления отдельных категорий детей, нуждающихся в психолого-педагогическом и ином специальном сопровождении, в том числе детей, оказавшихся в трудной жизненной ситуации»</t>
  </si>
  <si>
    <t xml:space="preserve">71.</t>
  </si>
  <si>
    <t xml:space="preserve">Основное мероприятие 6.3 «Страхование детей во время их пребывания в организациях отдыха и оздоровления, а также во время их проезда к месту отдыха и обратно»</t>
  </si>
  <si>
    <t xml:space="preserve">72.</t>
  </si>
  <si>
    <t xml:space="preserve">Основное мероприятие 6.4 «Научно-методическое, кадровое и информационное обеспечение оздоровительной кампании детей в Камчатском крае»</t>
  </si>
  <si>
    <t xml:space="preserve">».</t>
  </si>
  <si>
    <t xml:space="preserve">   </t>
  </si>
  <si>
    <t xml:space="preserve">Приложение 5</t>
  </si>
  <si>
    <t xml:space="preserve">к государственной программе Камчатского края</t>
  </si>
  <si>
    <t xml:space="preserve">«Развитие образования в Камчатском крае»</t>
  </si>
  <si>
    <t xml:space="preserve">Объем средств на реализацию программы</t>
  </si>
  <si>
    <t xml:space="preserve">% роста к предудущему году</t>
  </si>
  <si>
    <t xml:space="preserve">год + 4</t>
  </si>
  <si>
    <t xml:space="preserve">1.1.</t>
  </si>
  <si>
    <t xml:space="preserve">1.1.1.</t>
  </si>
  <si>
    <t xml:space="preserve">1.1.2.</t>
  </si>
  <si>
    <t xml:space="preserve">1.1.3.</t>
  </si>
  <si>
    <t xml:space="preserve">Основное мероприятие 1.3 «Развитие сферы дополнительного образования и социализации детей»</t>
  </si>
  <si>
    <t xml:space="preserve">Министерство здравоохранения</t>
  </si>
  <si>
    <t xml:space="preserve">Министерство соц.развития</t>
  </si>
  <si>
    <t xml:space="preserve">1.1.4.</t>
  </si>
  <si>
    <t xml:space="preserve">1.1.5.</t>
  </si>
  <si>
    <t xml:space="preserve">Основное мероприятие 1.5 «Развитие кадрового потенциала системы дошкольного, общего и дополнительного образования детей, в том числе проведение конкурсов профессионального мастерства педагогических работников»</t>
  </si>
  <si>
    <t xml:space="preserve">1.1.6.</t>
  </si>
  <si>
    <t xml:space="preserve">1.1.7.</t>
  </si>
  <si>
    <t xml:space="preserve">Основное мероприятие 1.7 «Развитие инфраструктуры дошкольного, общего образования и дополнительного образования детей»</t>
  </si>
  <si>
    <t xml:space="preserve">Министерство строительства КК</t>
  </si>
  <si>
    <t xml:space="preserve">1.1.8.</t>
  </si>
  <si>
    <t xml:space="preserve">1.1.9.</t>
  </si>
  <si>
    <t xml:space="preserve">1.2.</t>
  </si>
  <si>
    <t xml:space="preserve">1.2.1.</t>
  </si>
  <si>
    <t xml:space="preserve">Основное мероприятие 2.1 «Реализация образовательных программ среднего профессионального образования и профессионального обучения на основе государственного задания с учетом выхода на эффективный контракт с педагогическими работниками»</t>
  </si>
  <si>
    <t xml:space="preserve">1.2.2.</t>
  </si>
  <si>
    <t xml:space="preserve">1.2.3.</t>
  </si>
  <si>
    <t xml:space="preserve">Министерство спорта и молодежной политики</t>
  </si>
  <si>
    <t xml:space="preserve">1.2.4.</t>
  </si>
  <si>
    <t xml:space="preserve">1.2.5.</t>
  </si>
  <si>
    <t xml:space="preserve">1.2.6.</t>
  </si>
  <si>
    <t xml:space="preserve">Основное мероприятие 2.6 «Обеспечение социальной поддержки обучающихся по программам среднего профессионального образования»</t>
  </si>
  <si>
    <t xml:space="preserve">1.2.7.</t>
  </si>
  <si>
    <t xml:space="preserve">Министерство культуры</t>
  </si>
  <si>
    <t xml:space="preserve">1.2.8.</t>
  </si>
  <si>
    <t xml:space="preserve">1.2.9.</t>
  </si>
  <si>
    <t xml:space="preserve">Основное мероприятие 2.9  «Предоставление субсидий из краевого бюджета частным образовательным организациям, осуществляющим образовательную деятельность по образовательным программам среднего профессионального образования, в Камчатском крае»</t>
  </si>
  <si>
    <t xml:space="preserve">1.3.</t>
  </si>
  <si>
    <t xml:space="preserve">1.3.1.</t>
  </si>
  <si>
    <t xml:space="preserve">Основное мероприятие 3.1 «Обеспечение деятельности отдела контроля и надзора Министерства образования и науки Камчатского края»</t>
  </si>
  <si>
    <t xml:space="preserve">1.3.2.</t>
  </si>
  <si>
    <t xml:space="preserve">1.3.3.</t>
  </si>
  <si>
    <t xml:space="preserve">1.4.</t>
  </si>
  <si>
    <t xml:space="preserve">1.4.1.</t>
  </si>
  <si>
    <t xml:space="preserve">1.4.2.</t>
  </si>
  <si>
    <t xml:space="preserve">1.5.</t>
  </si>
  <si>
    <t xml:space="preserve">1.5.1.</t>
  </si>
  <si>
    <t xml:space="preserve">1.5.2.</t>
  </si>
  <si>
    <t xml:space="preserve">Таблица 15</t>
  </si>
  <si>
    <t xml:space="preserve">Государственная программа Камчатского края</t>
  </si>
  <si>
    <t xml:space="preserve">Наименование подпрограммы\ наименование инвестиционного проекта</t>
  </si>
  <si>
    <t xml:space="preserve">Ответственный за сопровождение инвестиционного проекта (ИОГВ, Руководитель Ф.И.О.)</t>
  </si>
  <si>
    <t xml:space="preserve">Ответственный за сопровождение инвестиционного проекта (Администрация МО, Глава МО)</t>
  </si>
  <si>
    <t xml:space="preserve">Инестор</t>
  </si>
  <si>
    <t xml:space="preserve">Стоимость проекта</t>
  </si>
  <si>
    <t xml:space="preserve">Источники финансирования</t>
  </si>
  <si>
    <t xml:space="preserve">Описание проекта</t>
  </si>
  <si>
    <t xml:space="preserve">Сроки реализации</t>
  </si>
  <si>
    <t xml:space="preserve">Потребность в инфраструктуре</t>
  </si>
  <si>
    <t xml:space="preserve">Меры гос поддержки</t>
  </si>
  <si>
    <t xml:space="preserve">Наличие земельного участка</t>
  </si>
  <si>
    <t xml:space="preserve">основные экономические показатели
(вклад в ВРП;  налогов; создание раб. мест и т.д.)</t>
  </si>
  <si>
    <t xml:space="preserve">Подпрограмма 1</t>
  </si>
  <si>
    <t xml:space="preserve">проект № 1</t>
  </si>
  <si>
    <t xml:space="preserve">проект № 2</t>
  </si>
  <si>
    <t xml:space="preserve">проект №…</t>
  </si>
  <si>
    <t xml:space="preserve">Подпрограмма 2</t>
  </si>
  <si>
    <t xml:space="preserve">проект № Х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</si>
</sst>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0.00000"/>
    <numFmt numFmtId="166" formatCode="#,##0.00000"/>
    <numFmt numFmtId="167" formatCode="#,##0.00"/>
    <numFmt numFmtId="168" formatCode="#,##0.000000"/>
    <numFmt numFmtId="169" formatCode="#,##0.0000000"/>
    <numFmt numFmtId="170" formatCode="@"/>
    <numFmt numFmtId="171" formatCode="#,##0.00000;\-#,##0.00000"/>
    <numFmt numFmtId="172" formatCode="#,##0.00000000"/>
    <numFmt numFmtId="173" formatCode="#,##0.000000000"/>
    <numFmt numFmtId="174" formatCode="#,##0.00000000000"/>
    <numFmt numFmtId="175" formatCode="#,##0"/>
    <numFmt numFmtId="176" formatCode="dd/mmm"/>
    <numFmt numFmtId="177" formatCode="#,##0.0000000000000000000"/>
    <numFmt numFmtId="178" formatCode="#,##0.0000000000"/>
    <numFmt numFmtId="179" formatCode="#,##0.0000000000000000000000"/>
    <numFmt numFmtId="180" formatCode="#,##0.0000000000000"/>
    <numFmt numFmtId="181" formatCode="#,##0.00000000000000"/>
    <numFmt numFmtId="182" formatCode="_-* #,##0.00_р_._-;\-* #,##0.00_р_._-;_-* \-??_р_._-;_-@_-"/>
    <numFmt numFmtId="183" formatCode="0.00%"/>
  </numFmts>
  <fonts count="23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Times New Roman"/>
      <family val="0"/>
      <charset val="1"/>
    </font>
    <font>
      <sz val="9"/>
      <name val="Times New Roman"/>
      <family val="0"/>
      <charset val="1"/>
    </font>
    <font>
      <sz val="8"/>
      <color rgb="FF000000"/>
      <name val="Times New Roman"/>
      <family val="0"/>
      <charset val="1"/>
    </font>
    <font>
      <sz val="14"/>
      <name val="Times New Roman"/>
      <family val="0"/>
      <charset val="1"/>
    </font>
    <font>
      <sz val="18"/>
      <name val="Times New Roman"/>
      <family val="0"/>
      <charset val="1"/>
    </font>
    <font>
      <sz val="10"/>
      <name val="Times New Roman"/>
      <family val="0"/>
      <charset val="1"/>
    </font>
    <font>
      <sz val="8"/>
      <name val="Arial"/>
      <family val="0"/>
      <charset val="1"/>
    </font>
    <font>
      <sz val="10"/>
      <color rgb="FF000000"/>
      <name val="Times New Roman"/>
      <family val="0"/>
      <charset val="1"/>
    </font>
    <font>
      <sz val="11"/>
      <name val="Times New Roman"/>
      <family val="0"/>
      <charset val="1"/>
    </font>
    <font>
      <sz val="12"/>
      <name val="Times New Roman"/>
      <family val="0"/>
      <charset val="1"/>
    </font>
    <font>
      <sz val="12"/>
      <color rgb="FFFFFFFF"/>
      <name val="Times New Roman"/>
      <family val="0"/>
      <charset val="1"/>
    </font>
    <font>
      <sz val="21"/>
      <name val="Times New Roman"/>
      <family val="0"/>
      <charset val="1"/>
    </font>
    <font>
      <b val="true"/>
      <sz val="21"/>
      <name val="Times New Roman"/>
      <family val="0"/>
      <charset val="1"/>
    </font>
    <font>
      <sz val="22"/>
      <name val="Times New Roman"/>
      <family val="0"/>
      <charset val="1"/>
    </font>
    <font>
      <b val="true"/>
      <sz val="11"/>
      <name val="Times New Roman"/>
      <family val="0"/>
      <charset val="1"/>
    </font>
    <font>
      <b val="true"/>
      <sz val="12"/>
      <name val="Times New Roman"/>
      <family val="0"/>
      <charset val="1"/>
    </font>
    <font>
      <sz val="11"/>
      <color rgb="FF000000"/>
      <name val="Times New Roman"/>
      <family val="0"/>
      <charset val="1"/>
    </font>
    <font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dotted"/>
      <bottom style="dotted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dotted"/>
      <top style="thin"/>
      <bottom style="thin"/>
      <diagonal/>
    </border>
    <border diagonalUp="false" diagonalDown="false">
      <left style="dotted"/>
      <right style="dotted"/>
      <top style="thin"/>
      <bottom style="thin"/>
      <diagonal/>
    </border>
    <border diagonalUp="false" diagonalDown="false">
      <left style="dotted"/>
      <right style="thin"/>
      <top style="thin"/>
      <bottom style="thin"/>
      <diagonal/>
    </border>
    <border diagonalUp="false" diagonalDown="false">
      <left style="thin"/>
      <right style="dotted"/>
      <top/>
      <bottom style="dotted"/>
      <diagonal/>
    </border>
    <border diagonalUp="false" diagonalDown="false">
      <left style="dotted"/>
      <right style="dotted"/>
      <top/>
      <bottom style="dotted"/>
      <diagonal/>
    </border>
    <border diagonalUp="false" diagonalDown="false">
      <left style="dotted"/>
      <right style="thin"/>
      <top/>
      <bottom style="dotted"/>
      <diagonal/>
    </border>
    <border diagonalUp="false" diagonalDown="false">
      <left style="thin"/>
      <right style="dotted"/>
      <top style="dotted"/>
      <bottom style="dotted"/>
      <diagonal/>
    </border>
    <border diagonalUp="false" diagonalDown="false">
      <left style="dotted"/>
      <right style="dotted"/>
      <top style="dotted"/>
      <bottom style="dotted"/>
      <diagonal/>
    </border>
    <border diagonalUp="false" diagonalDown="false">
      <left style="dotted"/>
      <right style="thin"/>
      <top style="dotted"/>
      <bottom style="dotted"/>
      <diagonal/>
    </border>
    <border diagonalUp="false" diagonalDown="false">
      <left style="thin"/>
      <right style="dotted"/>
      <top style="dotted"/>
      <bottom style="thin"/>
      <diagonal/>
    </border>
    <border diagonalUp="false" diagonalDown="false">
      <left style="dotted"/>
      <right style="dotted"/>
      <top style="dotted"/>
      <bottom style="thin"/>
      <diagonal/>
    </border>
    <border diagonalUp="false" diagonalDown="false">
      <left style="dotted"/>
      <right style="thin"/>
      <top style="dotted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7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4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9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7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7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1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2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3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4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72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75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76" fontId="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77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78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11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10" fillId="2" borderId="7" xfId="0" applyFont="true" applyBorder="true" applyAlignment="true" applyProtection="true">
      <alignment horizontal="right" vertical="bottom" textRotation="0" wrapText="false" indent="1" shrinkToFit="false"/>
      <protection locked="true" hidden="false"/>
    </xf>
    <xf numFmtId="170" fontId="9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9" fillId="2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0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0" fillId="0" borderId="8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81" fontId="4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82" fontId="4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3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1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0" fontId="12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76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9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18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2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1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1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2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2" fillId="0" borderId="2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2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23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FFFFFF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A559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pane xSplit="3" ySplit="0" topLeftCell="D1" activePane="topRight" state="frozen"/>
      <selection pane="topLeft" activeCell="A1" activeCellId="0" sqref="A1"/>
      <selection pane="topRight" activeCell="T5" activeCellId="0" sqref="T5:T6"/>
    </sheetView>
  </sheetViews>
  <sheetFormatPr defaultColWidth="9.1640625" defaultRowHeight="12.75" zeroHeight="false" outlineLevelRow="0" outlineLevelCol="0"/>
  <cols>
    <col collapsed="false" customWidth="true" hidden="false" outlineLevel="0" max="1" min="1" style="1" width="6.2"/>
    <col collapsed="false" customWidth="true" hidden="false" outlineLevel="0" max="2" min="2" style="2" width="37.76"/>
    <col collapsed="false" customWidth="true" hidden="false" outlineLevel="0" max="3" min="3" style="1" width="16.49"/>
    <col collapsed="false" customWidth="true" hidden="false" outlineLevel="0" max="4" min="4" style="3" width="5.64"/>
    <col collapsed="false" customWidth="true" hidden="false" outlineLevel="0" max="5" min="5" style="3" width="6.2"/>
    <col collapsed="false" customWidth="true" hidden="false" outlineLevel="0" max="6" min="6" style="4" width="16.28"/>
    <col collapsed="false" customWidth="true" hidden="false" outlineLevel="0" max="7" min="7" style="4" width="15.14"/>
    <col collapsed="false" customWidth="true" hidden="false" outlineLevel="0" max="8" min="8" style="4" width="15.85"/>
    <col collapsed="false" customWidth="true" hidden="false" outlineLevel="0" max="9" min="9" style="4" width="15.28"/>
    <col collapsed="false" customWidth="true" hidden="false" outlineLevel="0" max="10" min="10" style="5" width="17"/>
    <col collapsed="false" customWidth="true" hidden="false" outlineLevel="0" max="11" min="11" style="4" width="15.14"/>
    <col collapsed="false" customWidth="true" hidden="false" outlineLevel="0" max="12" min="12" style="4" width="16.43"/>
    <col collapsed="false" customWidth="true" hidden="false" outlineLevel="0" max="13" min="13" style="4" width="15.85"/>
    <col collapsed="false" customWidth="true" hidden="false" outlineLevel="0" max="14" min="14" style="4" width="15.58"/>
    <col collapsed="false" customWidth="true" hidden="false" outlineLevel="0" max="15" min="15" style="6" width="18.46"/>
    <col collapsed="false" customWidth="true" hidden="false" outlineLevel="0" max="16" min="16" style="6" width="15.51"/>
    <col collapsed="false" customWidth="true" hidden="false" outlineLevel="0" max="17" min="17" style="6" width="16.77"/>
    <col collapsed="false" customWidth="true" hidden="false" outlineLevel="0" max="18" min="18" style="3" width="15.85"/>
    <col collapsed="false" customWidth="true" hidden="true" outlineLevel="0" max="19" min="19" style="1" width="12.11"/>
    <col collapsed="false" customWidth="true" hidden="false" outlineLevel="0" max="20" min="20" style="7" width="27.9"/>
    <col collapsed="false" customWidth="true" hidden="false" outlineLevel="0" max="21" min="21" style="7" width="24.94"/>
    <col collapsed="false" customWidth="true" hidden="false" outlineLevel="0" max="22" min="22" style="7" width="27.34"/>
    <col collapsed="false" customWidth="true" hidden="false" outlineLevel="0" max="23" min="23" style="1" width="16.77"/>
    <col collapsed="false" customWidth="true" hidden="false" outlineLevel="0" max="24" min="24" style="1" width="21.84"/>
    <col collapsed="false" customWidth="true" hidden="false" outlineLevel="0" max="25" min="25" style="1" width="20.43"/>
    <col collapsed="false" customWidth="false" hidden="false" outlineLevel="0" max="16384" min="26" style="1" width="9.16"/>
  </cols>
  <sheetData>
    <row r="1" customFormat="false" ht="12.75" hidden="false" customHeight="false" outlineLevel="0" collapsed="false">
      <c r="A1" s="8"/>
      <c r="B1" s="8"/>
      <c r="F1" s="9"/>
      <c r="G1" s="10"/>
      <c r="H1" s="10"/>
      <c r="I1" s="10"/>
      <c r="J1" s="11"/>
      <c r="K1" s="10"/>
      <c r="L1" s="10"/>
      <c r="M1" s="10"/>
    </row>
    <row r="2" customFormat="false" ht="12.75" hidden="false" customHeight="false" outlineLevel="0" collapsed="false">
      <c r="F2" s="9"/>
      <c r="G2" s="12"/>
      <c r="H2" s="12"/>
      <c r="I2" s="12"/>
      <c r="J2" s="13"/>
      <c r="K2" s="14"/>
      <c r="L2" s="14"/>
      <c r="M2" s="14"/>
    </row>
    <row r="3" customFormat="false" ht="12.75" hidden="false" customHeight="false" outlineLevel="0" collapsed="false">
      <c r="F3" s="15"/>
      <c r="G3" s="12"/>
      <c r="H3" s="12"/>
      <c r="I3" s="12"/>
      <c r="J3" s="13"/>
      <c r="K3" s="12"/>
      <c r="L3" s="12"/>
      <c r="M3" s="12"/>
    </row>
    <row r="4" customFormat="false" ht="16.95" hidden="false" customHeight="true" outlineLevel="0" collapsed="false">
      <c r="B4" s="16"/>
      <c r="C4" s="16"/>
      <c r="D4" s="16"/>
      <c r="E4" s="16"/>
      <c r="F4" s="9"/>
      <c r="G4" s="16"/>
      <c r="H4" s="16"/>
      <c r="I4" s="16"/>
      <c r="J4" s="16"/>
      <c r="K4" s="16"/>
      <c r="L4" s="16"/>
      <c r="M4" s="16"/>
      <c r="N4" s="5"/>
      <c r="O4" s="17"/>
      <c r="P4" s="17"/>
      <c r="T4" s="18"/>
    </row>
    <row r="5" customFormat="false" ht="68.25" hidden="false" customHeight="true" outlineLevel="0" collapsed="false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/>
      <c r="O5" s="20"/>
      <c r="P5" s="21" t="s">
        <v>0</v>
      </c>
      <c r="Q5" s="21"/>
      <c r="R5" s="21"/>
      <c r="T5" s="22"/>
    </row>
    <row r="6" customFormat="false" ht="38.4" hidden="false" customHeight="true" outlineLevel="0" collapsed="false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  <c r="M6" s="24"/>
      <c r="N6" s="25"/>
      <c r="O6" s="20"/>
      <c r="P6" s="26" t="s">
        <v>1</v>
      </c>
      <c r="Q6" s="26"/>
      <c r="R6" s="26"/>
      <c r="T6" s="27"/>
      <c r="V6" s="18"/>
      <c r="W6" s="18"/>
    </row>
    <row r="7" customFormat="false" ht="18.75" hidden="false" customHeight="true" outlineLevel="0" collapsed="false">
      <c r="A7" s="28" t="s">
        <v>2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U7" s="18"/>
      <c r="V7" s="22" t="n">
        <v>18621885.89</v>
      </c>
      <c r="W7" s="22" t="n">
        <v>17695517.6989</v>
      </c>
      <c r="X7" s="22" t="n">
        <v>16967177.75</v>
      </c>
    </row>
    <row r="8" customFormat="false" ht="4.9" hidden="false" customHeight="true" outlineLevel="0" collapsed="false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U8" s="18"/>
    </row>
    <row r="9" s="1" customFormat="true" ht="36" hidden="false" customHeight="true" outlineLevel="0" collapsed="false">
      <c r="A9" s="30" t="s">
        <v>3</v>
      </c>
      <c r="B9" s="30" t="s">
        <v>4</v>
      </c>
      <c r="C9" s="31"/>
      <c r="D9" s="30" t="s">
        <v>5</v>
      </c>
      <c r="E9" s="30"/>
      <c r="F9" s="32" t="s">
        <v>6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  <row r="10" s="35" customFormat="true" ht="12" hidden="false" customHeight="false" outlineLevel="0" collapsed="false">
      <c r="A10" s="30"/>
      <c r="B10" s="30"/>
      <c r="C10" s="30"/>
      <c r="D10" s="30" t="s">
        <v>7</v>
      </c>
      <c r="E10" s="30" t="s">
        <v>8</v>
      </c>
      <c r="F10" s="32" t="s">
        <v>9</v>
      </c>
      <c r="G10" s="32" t="s">
        <v>10</v>
      </c>
      <c r="H10" s="32" t="s">
        <v>11</v>
      </c>
      <c r="I10" s="32" t="s">
        <v>12</v>
      </c>
      <c r="J10" s="33" t="s">
        <v>13</v>
      </c>
      <c r="K10" s="32" t="s">
        <v>14</v>
      </c>
      <c r="L10" s="32" t="s">
        <v>15</v>
      </c>
      <c r="M10" s="32" t="s">
        <v>16</v>
      </c>
      <c r="N10" s="32" t="s">
        <v>17</v>
      </c>
      <c r="O10" s="30" t="s">
        <v>18</v>
      </c>
      <c r="P10" s="30" t="s">
        <v>19</v>
      </c>
      <c r="Q10" s="30" t="s">
        <v>20</v>
      </c>
      <c r="R10" s="34" t="s">
        <v>21</v>
      </c>
      <c r="S10" s="35" t="n">
        <v>2020</v>
      </c>
      <c r="T10" s="35" t="n">
        <v>2021</v>
      </c>
      <c r="U10" s="35" t="s">
        <v>22</v>
      </c>
      <c r="V10" s="35" t="n">
        <v>2023</v>
      </c>
      <c r="W10" s="35" t="n">
        <v>2024</v>
      </c>
      <c r="X10" s="35" t="n">
        <v>2025</v>
      </c>
    </row>
    <row r="11" s="3" customFormat="true" ht="12" hidden="false" customHeight="false" outlineLevel="0" collapsed="false">
      <c r="A11" s="34" t="n">
        <v>1</v>
      </c>
      <c r="B11" s="34" t="n">
        <v>2</v>
      </c>
      <c r="C11" s="34" t="n">
        <v>3</v>
      </c>
      <c r="D11" s="34" t="n">
        <v>4</v>
      </c>
      <c r="E11" s="34" t="n">
        <v>5</v>
      </c>
      <c r="F11" s="36" t="n">
        <v>6</v>
      </c>
      <c r="G11" s="36" t="n">
        <v>7</v>
      </c>
      <c r="H11" s="36" t="n">
        <v>8</v>
      </c>
      <c r="I11" s="36" t="n">
        <v>9</v>
      </c>
      <c r="J11" s="37" t="s">
        <v>23</v>
      </c>
      <c r="K11" s="36" t="s">
        <v>24</v>
      </c>
      <c r="L11" s="36" t="s">
        <v>25</v>
      </c>
      <c r="M11" s="36" t="s">
        <v>26</v>
      </c>
      <c r="N11" s="36" t="s">
        <v>27</v>
      </c>
      <c r="O11" s="30" t="n">
        <v>15</v>
      </c>
      <c r="P11" s="30" t="n">
        <v>16</v>
      </c>
      <c r="Q11" s="30" t="n">
        <v>17</v>
      </c>
      <c r="R11" s="34" t="n">
        <v>18</v>
      </c>
      <c r="S11" s="5" t="n">
        <f aca="false">16920712.59255-M13-M14</f>
        <v>-2380.00000000186</v>
      </c>
      <c r="T11" s="38" t="n">
        <f aca="false">16557302.46091-(N12-N15)</f>
        <v>1.91666185855865E-006</v>
      </c>
      <c r="U11" s="38" t="n">
        <f aca="false">17802841.08128-(O13+O14)</f>
        <v>3.72529029846191E-009</v>
      </c>
      <c r="V11" s="39" t="n">
        <f aca="false">18714013.057-P13-P14</f>
        <v>0</v>
      </c>
      <c r="W11" s="39" t="n">
        <f aca="false">17663889.42213-Q12</f>
        <v>0</v>
      </c>
      <c r="X11" s="39" t="n">
        <f aca="false">16977989.37323-R12</f>
        <v>0</v>
      </c>
    </row>
    <row r="12" s="42" customFormat="true" ht="15.6" hidden="false" customHeight="true" outlineLevel="0" collapsed="false">
      <c r="A12" s="40" t="s">
        <v>28</v>
      </c>
      <c r="B12" s="41" t="s">
        <v>29</v>
      </c>
      <c r="C12" s="31" t="s">
        <v>30</v>
      </c>
      <c r="D12" s="34"/>
      <c r="E12" s="34"/>
      <c r="F12" s="37" t="n">
        <f aca="false">SUM(F13:F19)</f>
        <v>178000531.463381</v>
      </c>
      <c r="G12" s="37" t="n">
        <f aca="false">SUM(G13:G19)</f>
        <v>10173088.41346</v>
      </c>
      <c r="H12" s="37" t="n">
        <f aca="false">SUM(H13:H19)</f>
        <v>10889957.22096</v>
      </c>
      <c r="I12" s="37" t="n">
        <f aca="false">SUM(I13:I19)</f>
        <v>11739410.29804</v>
      </c>
      <c r="J12" s="37" t="n">
        <f aca="false">SUM(J13:J19)</f>
        <v>11612124.79156</v>
      </c>
      <c r="K12" s="37" t="n">
        <f aca="false">SUM(K13:K19)</f>
        <v>13729942.5691</v>
      </c>
      <c r="L12" s="37" t="n">
        <f aca="false">SUM(L13:L19)</f>
        <v>15103040.52624</v>
      </c>
      <c r="M12" s="37" t="n">
        <f aca="false">SUM(M13:M19)</f>
        <v>16949847.9076054</v>
      </c>
      <c r="N12" s="37" t="n">
        <f aca="false">SUM(N13:N19)</f>
        <v>16595564.3277081</v>
      </c>
      <c r="O12" s="37" t="n">
        <f aca="false">SUM(O13:O19)</f>
        <v>17827932.88671</v>
      </c>
      <c r="P12" s="37" t="n">
        <f aca="false">SUM(P13:P19)</f>
        <v>18737743.7266374</v>
      </c>
      <c r="Q12" s="37" t="n">
        <f aca="false">SUM(Q13:Q19)</f>
        <v>17663889.42213</v>
      </c>
      <c r="R12" s="37" t="n">
        <f aca="false">SUM(R13:R19)</f>
        <v>16977989.37323</v>
      </c>
      <c r="T12" s="43"/>
      <c r="U12" s="43"/>
      <c r="V12" s="44"/>
      <c r="W12" s="45"/>
      <c r="X12" s="46"/>
    </row>
    <row r="13" s="42" customFormat="true" ht="36" hidden="false" customHeight="false" outlineLevel="0" collapsed="false">
      <c r="A13" s="40"/>
      <c r="B13" s="41"/>
      <c r="C13" s="31" t="s">
        <v>31</v>
      </c>
      <c r="D13" s="36"/>
      <c r="E13" s="34"/>
      <c r="F13" s="37" t="n">
        <f aca="false">SUM(G13:R13)</f>
        <v>9842084.14054</v>
      </c>
      <c r="G13" s="37" t="n">
        <f aca="false">G21+G259+G393+G442+G478+F501</f>
        <v>247344.42619</v>
      </c>
      <c r="H13" s="37" t="n">
        <f aca="false">H21+H259+H393+H442+H478</f>
        <v>126980.7</v>
      </c>
      <c r="I13" s="37" t="n">
        <f aca="false">I21+I259+I393+I442+I478</f>
        <v>302594.2</v>
      </c>
      <c r="J13" s="37" t="n">
        <f aca="false">J21+J259+J393+J442+J478</f>
        <v>27936.4</v>
      </c>
      <c r="K13" s="37" t="n">
        <f aca="false">K21+K259+K393+K442+K478</f>
        <v>452841.73835</v>
      </c>
      <c r="L13" s="37" t="n">
        <f aca="false">L21+L259+L393+L442+L478</f>
        <v>829825.3</v>
      </c>
      <c r="M13" s="37" t="n">
        <f aca="false">M21+M259+M393+M442+M478</f>
        <v>1196249</v>
      </c>
      <c r="N13" s="37" t="n">
        <f aca="false">N21+N259+N393+N442+N478+N260+N261+N501</f>
        <v>1667145.6</v>
      </c>
      <c r="O13" s="37" t="n">
        <f aca="false">O21+O259+O393+O442+O478+O260+O261+O501</f>
        <v>1682137.776</v>
      </c>
      <c r="P13" s="37" t="n">
        <f aca="false">P21+P259+P393+P442+P478+P260+P261+P501</f>
        <v>1392811.7</v>
      </c>
      <c r="Q13" s="37" t="n">
        <f aca="false">Q21+Q259+Q393+Q442+Q478+Q260+Q261</f>
        <v>1176572.6</v>
      </c>
      <c r="R13" s="37" t="n">
        <f aca="false">R21+R259+R393+R442+R478+R260+R261</f>
        <v>739644.7</v>
      </c>
      <c r="S13" s="47" t="n">
        <f aca="false">S21+S259+S393+S442+S478+S260+S261</f>
        <v>0</v>
      </c>
      <c r="T13" s="48" t="n">
        <f aca="false">1667145.6-N13</f>
        <v>-2.3283064365387E-010</v>
      </c>
      <c r="U13" s="48" t="n">
        <f aca="false">1682137.776-O13</f>
        <v>-2.3283064365387E-010</v>
      </c>
      <c r="V13" s="11" t="n">
        <f aca="false">1392811.7-P13</f>
        <v>-2.3283064365387E-010</v>
      </c>
      <c r="W13" s="11" t="n">
        <f aca="false">1176572.6-Q13</f>
        <v>0</v>
      </c>
      <c r="X13" s="11" t="n">
        <f aca="false">739644.7-R13</f>
        <v>0</v>
      </c>
    </row>
    <row r="14" s="42" customFormat="true" ht="24" hidden="false" customHeight="false" outlineLevel="0" collapsed="false">
      <c r="A14" s="40"/>
      <c r="B14" s="41"/>
      <c r="C14" s="31" t="s">
        <v>32</v>
      </c>
      <c r="D14" s="36"/>
      <c r="E14" s="34"/>
      <c r="F14" s="37" t="n">
        <f aca="false">G14+H14+I14+J14+K14+L14+M14+N14+O14+P14+Q14+R14</f>
        <v>167838479.723368</v>
      </c>
      <c r="G14" s="37" t="n">
        <f aca="false">G22+G262+G394+G443+G479+G502+G503+G504+G505+G506+G507+G508+G263</f>
        <v>9894889.11927</v>
      </c>
      <c r="H14" s="37" t="n">
        <f aca="false">H22+H262+H394+H443+H479+H502+H503+H504+H505+H506+H507+H508+H263</f>
        <v>10680709.64117</v>
      </c>
      <c r="I14" s="37" t="n">
        <f aca="false">I22+I262+I394+I443+I479+I502+I503+I504+I505+I506+I507+I508+I263</f>
        <v>11391875.68646</v>
      </c>
      <c r="J14" s="37" t="n">
        <f aca="false">J22+J262+J394+J443+J479+J502+J503+J504+J505+J506+J507+J508+J263</f>
        <v>11583982.29277</v>
      </c>
      <c r="K14" s="37" t="n">
        <f aca="false">K22+K262+K394+K443+K479+K502+K503+K504+K505+K506+K507+K508+K263</f>
        <v>13274425.54382</v>
      </c>
      <c r="L14" s="37" t="n">
        <f aca="false">L22+L262+L394+L443+L479+L502+L503+L504+L505+L506+L507+L508+L263+L264</f>
        <v>14228030.82878</v>
      </c>
      <c r="M14" s="37" t="n">
        <f aca="false">M22+M262+M394+M443+M479+M502+M503+M504+M505+M506+M507+M508+M263+M264</f>
        <v>15726843.59255</v>
      </c>
      <c r="N14" s="37" t="n">
        <f aca="false">N22+N262+N394+N443+N479+N502+N503+N504+N505+N506+N507+N508+N263+N264+N444</f>
        <v>14890156.8609081</v>
      </c>
      <c r="O14" s="37" t="n">
        <f aca="false">O22+O262+O394+O443+O479+O502+O503+O504+O505+O506+O507+O508+O263+O264+O444+O481</f>
        <v>16120703.30528</v>
      </c>
      <c r="P14" s="37" t="n">
        <f aca="false">P22+P262+P394+P443+P479+P502+P503+P504+P505+P506+P507+P508+P263+P264+P444+P481</f>
        <v>17321201.357</v>
      </c>
      <c r="Q14" s="37" t="n">
        <f aca="false">Q22+Q262+Q394+Q443+Q479+Q502+Q503+Q504+Q505+Q506+Q507+Q508+Q263+Q444+Q481</f>
        <v>16487316.82213</v>
      </c>
      <c r="R14" s="37" t="n">
        <f aca="false">R22+R262+R394+R443+R479+R502+R503+R504+R505+R506+R507+R508+R263+R444+R481</f>
        <v>16238344.67323</v>
      </c>
      <c r="T14" s="48" t="n">
        <f aca="false">14890156.86091-N14</f>
        <v>1.91666185855865E-006</v>
      </c>
      <c r="U14" s="48" t="n">
        <f aca="false">16120703.30528-O14</f>
        <v>1.86264514923096E-009</v>
      </c>
      <c r="V14" s="11" t="n">
        <f aca="false">18714013.057-P13-P14</f>
        <v>0</v>
      </c>
      <c r="W14" s="11" t="n">
        <f aca="false">17663889.42213-Q13-Q14</f>
        <v>0</v>
      </c>
      <c r="X14" s="11" t="n">
        <f aca="false">16977989.37323-R13-R14</f>
        <v>1.86264514923096E-009</v>
      </c>
    </row>
    <row r="15" s="42" customFormat="true" ht="24" hidden="false" customHeight="false" outlineLevel="0" collapsed="false">
      <c r="A15" s="40"/>
      <c r="B15" s="41"/>
      <c r="C15" s="31" t="s">
        <v>33</v>
      </c>
      <c r="D15" s="36"/>
      <c r="E15" s="34"/>
      <c r="F15" s="37" t="n">
        <f aca="false">G15+H15+I15+J15+K15+L15+M15+N15+O15+P15+Q15+R15</f>
        <v>319967.599472845</v>
      </c>
      <c r="G15" s="37" t="n">
        <f aca="false">G23+G265+G395+G445+G480</f>
        <v>30854.868</v>
      </c>
      <c r="H15" s="37" t="n">
        <f aca="false">H23+H265+H395+H445++H480</f>
        <v>82266.87979</v>
      </c>
      <c r="I15" s="37" t="n">
        <f aca="false">I23+I265+I395+I445++I480</f>
        <v>44940.41158</v>
      </c>
      <c r="J15" s="37" t="n">
        <f aca="false">J23+J265+J395+J445++J480</f>
        <v>206.09879</v>
      </c>
      <c r="K15" s="37" t="n">
        <f aca="false">K23+K265+K395+K445++K480</f>
        <v>2675.28693</v>
      </c>
      <c r="L15" s="37" t="n">
        <f aca="false">L23+L265+L395+L445+L480</f>
        <v>45184.39746</v>
      </c>
      <c r="M15" s="37" t="n">
        <f aca="false">M23+M265+M395+M445++M480</f>
        <v>26755.3150554445</v>
      </c>
      <c r="N15" s="37" t="n">
        <f aca="false">N23+N265+N395+N445++N480</f>
        <v>38261.8668</v>
      </c>
      <c r="O15" s="37" t="n">
        <f aca="false">O23+O265+O395+O445++O480</f>
        <v>25091.80543</v>
      </c>
      <c r="P15" s="37" t="n">
        <f aca="false">P23+P265+P395+P445++P480+P509</f>
        <v>23730.6696374</v>
      </c>
      <c r="Q15" s="37" t="n">
        <f aca="false">Q23+Q265+Q395+Q445++Q480</f>
        <v>0</v>
      </c>
      <c r="R15" s="37" t="n">
        <f aca="false">R23+R265+R395+R445++R480</f>
        <v>0</v>
      </c>
      <c r="T15" s="49"/>
      <c r="U15" s="50"/>
      <c r="V15" s="49"/>
    </row>
    <row r="16" s="42" customFormat="true" ht="36" hidden="false" customHeight="false" outlineLevel="0" collapsed="false">
      <c r="A16" s="40"/>
      <c r="B16" s="41"/>
      <c r="C16" s="31" t="s">
        <v>34</v>
      </c>
      <c r="D16" s="36"/>
      <c r="E16" s="34"/>
      <c r="F16" s="37" t="n">
        <f aca="false">G16+H16+I16+J16+K16+L16+M16+N16+O16+P16+Q16+R16</f>
        <v>0</v>
      </c>
      <c r="G16" s="37" t="n">
        <f aca="false">G24+G266+G396+G446+G482</f>
        <v>0</v>
      </c>
      <c r="H16" s="37" t="n">
        <f aca="false">H24+H266+H396+H446++H482</f>
        <v>0</v>
      </c>
      <c r="I16" s="37" t="n">
        <f aca="false">I24+I266+I396+I446++I482</f>
        <v>0</v>
      </c>
      <c r="J16" s="37" t="n">
        <f aca="false">J24+J266+J396+J446++J482</f>
        <v>0</v>
      </c>
      <c r="K16" s="37" t="n">
        <f aca="false">K24+K266+K396+K446++K482</f>
        <v>0</v>
      </c>
      <c r="L16" s="37" t="n">
        <f aca="false">L24+L266+L396+L446++L482</f>
        <v>0</v>
      </c>
      <c r="M16" s="37" t="n">
        <f aca="false">L16*104/100</f>
        <v>0</v>
      </c>
      <c r="N16" s="37" t="n">
        <f aca="false">M16*104/100</f>
        <v>0</v>
      </c>
      <c r="O16" s="37" t="n">
        <f aca="false">N16*104/100</f>
        <v>0</v>
      </c>
      <c r="P16" s="37" t="n">
        <f aca="false">O16*104/100</f>
        <v>0</v>
      </c>
      <c r="Q16" s="37" t="n">
        <f aca="false">P16*104/100</f>
        <v>0</v>
      </c>
      <c r="R16" s="37" t="n">
        <f aca="false">Q16*104/100</f>
        <v>0</v>
      </c>
      <c r="T16" s="49"/>
      <c r="U16" s="49"/>
      <c r="V16" s="49"/>
    </row>
    <row r="17" s="42" customFormat="true" ht="24" hidden="false" customHeight="false" outlineLevel="0" collapsed="false">
      <c r="A17" s="40"/>
      <c r="B17" s="41"/>
      <c r="C17" s="31" t="s">
        <v>35</v>
      </c>
      <c r="D17" s="36"/>
      <c r="E17" s="34"/>
      <c r="F17" s="37" t="n">
        <f aca="false">G17+H17+I17+J17+K17+L17+M17+N17+O17+P17+Q17+R17</f>
        <v>0</v>
      </c>
      <c r="G17" s="37" t="n">
        <f aca="false">G25+G267+G397+G447+G483</f>
        <v>0</v>
      </c>
      <c r="H17" s="37" t="n">
        <f aca="false">H25+H267+H397+H447++H483</f>
        <v>0</v>
      </c>
      <c r="I17" s="37" t="n">
        <f aca="false">I25+I267+I397+I447++I483</f>
        <v>0</v>
      </c>
      <c r="J17" s="37" t="n">
        <f aca="false">J25+J267+J397+J447++J483</f>
        <v>0</v>
      </c>
      <c r="K17" s="37" t="n">
        <f aca="false">K25+K267+K397+K447++K483</f>
        <v>0</v>
      </c>
      <c r="L17" s="37" t="n">
        <f aca="false">L25+L267+L397+L447++L483</f>
        <v>0</v>
      </c>
      <c r="M17" s="37" t="n">
        <f aca="false">L17*104/100</f>
        <v>0</v>
      </c>
      <c r="N17" s="37" t="n">
        <f aca="false">M17*104/100</f>
        <v>0</v>
      </c>
      <c r="O17" s="37" t="n">
        <f aca="false">N17*104/100</f>
        <v>0</v>
      </c>
      <c r="P17" s="37" t="n">
        <f aca="false">O17*104/100</f>
        <v>0</v>
      </c>
      <c r="Q17" s="37" t="n">
        <f aca="false">P17*104/100</f>
        <v>0</v>
      </c>
      <c r="R17" s="37" t="n">
        <f aca="false">Q17*104/100</f>
        <v>0</v>
      </c>
      <c r="T17" s="49"/>
      <c r="U17" s="49"/>
      <c r="V17" s="49"/>
    </row>
    <row r="18" s="42" customFormat="true" ht="71.25" hidden="false" customHeight="true" outlineLevel="0" collapsed="false">
      <c r="A18" s="40"/>
      <c r="B18" s="41"/>
      <c r="C18" s="31" t="s">
        <v>36</v>
      </c>
      <c r="D18" s="36"/>
      <c r="E18" s="34"/>
      <c r="F18" s="37" t="n">
        <f aca="false">G18+H18+I18+J18+K18+L18+M18+N18+O18+P18+Q18+R18</f>
        <v>0</v>
      </c>
      <c r="G18" s="37" t="n">
        <f aca="false">G25+G267+G397+G447+G483</f>
        <v>0</v>
      </c>
      <c r="H18" s="37" t="n">
        <f aca="false">H25+H267+H397+H447++H483</f>
        <v>0</v>
      </c>
      <c r="I18" s="37" t="n">
        <f aca="false">I25+I267+I397+I447++I483</f>
        <v>0</v>
      </c>
      <c r="J18" s="37" t="n">
        <f aca="false">J25+J267+J397+J447++J483</f>
        <v>0</v>
      </c>
      <c r="K18" s="37" t="n">
        <f aca="false">K25+K267+K397+K447++K483</f>
        <v>0</v>
      </c>
      <c r="L18" s="37" t="n">
        <f aca="false">L25+L267+L397+L447++L483</f>
        <v>0</v>
      </c>
      <c r="M18" s="37" t="n">
        <f aca="false">L18*104/100</f>
        <v>0</v>
      </c>
      <c r="N18" s="37" t="n">
        <f aca="false">N512</f>
        <v>0</v>
      </c>
      <c r="O18" s="37" t="n">
        <f aca="false">O512</f>
        <v>0</v>
      </c>
      <c r="P18" s="37" t="n">
        <f aca="false">P512</f>
        <v>0</v>
      </c>
      <c r="Q18" s="37" t="n">
        <f aca="false">Q512</f>
        <v>0</v>
      </c>
      <c r="R18" s="37" t="n">
        <f aca="false">R512</f>
        <v>0</v>
      </c>
      <c r="T18" s="49"/>
      <c r="U18" s="49"/>
      <c r="V18" s="49"/>
    </row>
    <row r="19" s="42" customFormat="true" ht="66" hidden="true" customHeight="true" outlineLevel="0" collapsed="false">
      <c r="A19" s="40"/>
      <c r="B19" s="41"/>
      <c r="C19" s="31" t="s">
        <v>37</v>
      </c>
      <c r="D19" s="36"/>
      <c r="E19" s="34"/>
      <c r="F19" s="37" t="n">
        <f aca="false">F513</f>
        <v>0</v>
      </c>
      <c r="G19" s="37" t="n">
        <f aca="false">G26+G268+G398+G448+G484</f>
        <v>0</v>
      </c>
      <c r="H19" s="37" t="n">
        <f aca="false">H26+H268+H398+H448++H484</f>
        <v>0</v>
      </c>
      <c r="I19" s="37" t="n">
        <f aca="false">I26+I268+I398+I448++I484</f>
        <v>0</v>
      </c>
      <c r="J19" s="37" t="n">
        <f aca="false">J26+J268+J398+J448++J484</f>
        <v>0</v>
      </c>
      <c r="K19" s="37" t="n">
        <f aca="false">K26+K268+K398+K448++K484</f>
        <v>0</v>
      </c>
      <c r="L19" s="37" t="n">
        <f aca="false">L26+L268+L398+L448++L484</f>
        <v>0</v>
      </c>
      <c r="M19" s="37" t="n">
        <f aca="false">L19*104/100</f>
        <v>0</v>
      </c>
      <c r="N19" s="37" t="n">
        <f aca="false">N513</f>
        <v>0</v>
      </c>
      <c r="O19" s="37" t="n">
        <f aca="false">O513</f>
        <v>0</v>
      </c>
      <c r="P19" s="37" t="n">
        <f aca="false">P513</f>
        <v>0</v>
      </c>
      <c r="Q19" s="37" t="n">
        <f aca="false">Q513</f>
        <v>0</v>
      </c>
      <c r="R19" s="37" t="n">
        <f aca="false">R513</f>
        <v>0</v>
      </c>
      <c r="T19" s="11" t="n">
        <f aca="false">16100666.98077-P20</f>
        <v>-4454.2052874025</v>
      </c>
      <c r="U19" s="51" t="n">
        <v>15246032.41327</v>
      </c>
      <c r="V19" s="51" t="n">
        <v>14479184.94023</v>
      </c>
    </row>
    <row r="20" s="42" customFormat="true" ht="13.8" hidden="false" customHeight="true" outlineLevel="0" collapsed="false">
      <c r="A20" s="52" t="s">
        <v>38</v>
      </c>
      <c r="B20" s="41" t="s">
        <v>39</v>
      </c>
      <c r="C20" s="31" t="s">
        <v>30</v>
      </c>
      <c r="D20" s="34"/>
      <c r="E20" s="34"/>
      <c r="F20" s="37" t="n">
        <f aca="false">SUM(G20:R20)</f>
        <v>155084697.235301</v>
      </c>
      <c r="G20" s="37" t="n">
        <f aca="false">G27+G34+G41+G60+G67+G74+G81+G89+G96+G103+G156+G205+G212</f>
        <v>8906716.48575</v>
      </c>
      <c r="H20" s="37" t="n">
        <f aca="false">H27+H34+H41+H60+H67+H74+H81+H89+H96+H103+H156+H205+H212</f>
        <v>9534518.21738</v>
      </c>
      <c r="I20" s="37" t="n">
        <f aca="false">I27+I34+I41+I60+I67+I74+I81+I89+I96+I103+I156+I205+I212</f>
        <v>10307379.20863</v>
      </c>
      <c r="J20" s="37" t="n">
        <f aca="false">J27+J34+J41+J60+J67+J74+J81+J89+J96+J103+J156+J205+J212</f>
        <v>10218808.58454</v>
      </c>
      <c r="K20" s="37" t="n">
        <f aca="false">K27+K34+K41+K60+K67+K74+K81+K89+K96+K103+K156+K205+K212</f>
        <v>12019415.83343</v>
      </c>
      <c r="L20" s="37" t="n">
        <f aca="false">L27+L34+L41+L60+L67+L74+L81+L89+L96+L103+L156+L205+L212</f>
        <v>13499825.97707</v>
      </c>
      <c r="M20" s="37" t="n">
        <f aca="false">M27+M34+M41+M60+M67+M74+M81+M89+M96+M103+M156+M205+M212+M244</f>
        <v>14996411.8819154</v>
      </c>
      <c r="N20" s="37" t="n">
        <f aca="false">N27+N34+N41+N60+N67+N74+N81+N89+N96+N103+N156+N205+N212+N244</f>
        <v>14293539.2214181</v>
      </c>
      <c r="O20" s="37" t="n">
        <f aca="false">O27+O34+O41+O60+O67+O74+O81+O89+O96+O103+O156+O205+O212+O244+O251</f>
        <v>15477743.28561</v>
      </c>
      <c r="P20" s="37" t="n">
        <f aca="false">P27+P34+P41+P60+P67+P74+P81+P89+P96+P103+P156+P205+P212+P244</f>
        <v>16105121.1860574</v>
      </c>
      <c r="Q20" s="37" t="n">
        <f aca="false">Q27+Q34+Q41+Q60+Q67+Q74+Q81+Q89+Q96+Q103+Q156+Q205+Q212+Q251</f>
        <v>15246032.41327</v>
      </c>
      <c r="R20" s="37" t="n">
        <f aca="false">R27+R34+R41+R60+R67+R74+R81+R89+R96+R103+R156+R205+R212+R251</f>
        <v>14479184.94023</v>
      </c>
      <c r="S20" s="53" t="n">
        <f aca="false">N20-N23</f>
        <v>14256031.3504781</v>
      </c>
      <c r="T20" s="49"/>
      <c r="U20" s="49"/>
      <c r="V20" s="49"/>
    </row>
    <row r="21" s="42" customFormat="true" ht="36" hidden="false" customHeight="false" outlineLevel="0" collapsed="false">
      <c r="A21" s="52"/>
      <c r="B21" s="41"/>
      <c r="C21" s="31" t="s">
        <v>31</v>
      </c>
      <c r="D21" s="34"/>
      <c r="E21" s="34"/>
      <c r="F21" s="37" t="n">
        <f aca="false">SUM(G21:R21)</f>
        <v>9082636.11054</v>
      </c>
      <c r="G21" s="37" t="n">
        <f aca="false">G28+G35+G42+G61+G68+G75+G82+G90+G97+G85</f>
        <v>241082.12619</v>
      </c>
      <c r="H21" s="37" t="n">
        <f aca="false">H28+H35+H42+H61+H68+H75+H82+H90+H97+H85+H88</f>
        <v>121212.2</v>
      </c>
      <c r="I21" s="37" t="n">
        <f aca="false">I28+I35+I42+I61+I68+I75+I82+I90+I97</f>
        <v>295100.5</v>
      </c>
      <c r="J21" s="37" t="n">
        <f aca="false">J28+J35+J42+J61+J68+J75+J82+J90+J97</f>
        <v>19164.7</v>
      </c>
      <c r="K21" s="37" t="n">
        <f aca="false">K28+K35+K42+K61+K68+K75+K82+K90+K97+K85</f>
        <v>330134.90835</v>
      </c>
      <c r="L21" s="37" t="n">
        <f aca="false">L28+L35+L42+L61+L68+L75+L82+L90+L97+L85+L157+L104+L206+L213+L216+L107</f>
        <v>823346.7</v>
      </c>
      <c r="M21" s="37" t="n">
        <f aca="false">M28+M35+M42+M61+M68+M75+M82+M90+M97+M85+M157+M104+M206+M213+M216+M107</f>
        <v>991772.1</v>
      </c>
      <c r="N21" s="37" t="n">
        <f aca="false">N28+N35+N42+N61+N68+N75+N82+N90+N97+N85+N157+N104+N206+N213+N216+N107</f>
        <v>1553397.6</v>
      </c>
      <c r="O21" s="37" t="n">
        <f aca="false">O28+O35+O42+O61+O68+O75+O82+O90+O97+O85+O157+O104+O206+O213+O216+O107+O252</f>
        <v>1590197.476</v>
      </c>
      <c r="P21" s="37" t="n">
        <f aca="false">P28+P35+P42+P61+P68+P75+P82+P90+P97+P85+P157+P104+P206+P213+P216+P107+P252</f>
        <v>1298148.5</v>
      </c>
      <c r="Q21" s="37" t="n">
        <f aca="false">Q28+Q35+Q42+Q61+Q68+Q75+Q82+Q90+Q97+Q85+Q157+Q104+Q206+Q213+Q216+Q107+Q252</f>
        <v>1128122.7</v>
      </c>
      <c r="R21" s="37" t="n">
        <f aca="false">R28+R35+R42+R61+R68+R75+R82+R90+R97+R85+R157+R104+R206+R213+R216+R107+R252</f>
        <v>690956.6</v>
      </c>
      <c r="S21" s="53"/>
      <c r="T21" s="11" t="n">
        <f aca="false">16100666.98077-P20</f>
        <v>-4454.2052874025</v>
      </c>
      <c r="U21" s="11" t="n">
        <f aca="false">15246032.41327-Q20</f>
        <v>1.86264514923096E-009</v>
      </c>
      <c r="V21" s="11" t="n">
        <f aca="false">14479184.94023-R20</f>
        <v>1.86264514923096E-009</v>
      </c>
      <c r="W21" s="53"/>
    </row>
    <row r="22" s="42" customFormat="true" ht="24" hidden="false" customHeight="false" outlineLevel="0" collapsed="false">
      <c r="A22" s="52"/>
      <c r="B22" s="41"/>
      <c r="C22" s="31" t="s">
        <v>32</v>
      </c>
      <c r="D22" s="36"/>
      <c r="E22" s="34"/>
      <c r="F22" s="37" t="n">
        <f aca="false">SUM(G22:R22)</f>
        <v>145702072.868198</v>
      </c>
      <c r="G22" s="37" t="n">
        <f aca="false">G29+G36+G43+G62+G69+G76+G83+G91+G98+G49+G55+G86</f>
        <v>8634779.49156</v>
      </c>
      <c r="H22" s="37" t="n">
        <f aca="false">H29+H36+H43+H62+H69+H76+H83+H91+H98+H49+H55+H86</f>
        <v>9331039.13759</v>
      </c>
      <c r="I22" s="37" t="n">
        <f aca="false">I29+I36+I43+I62+I69+I76+I83+I91+I98+I49+I55+I86</f>
        <v>9967338.29705</v>
      </c>
      <c r="J22" s="37" t="n">
        <f aca="false">J29+J36+J43+J62+J69+J76+J83+J91+J98+J49+J55+J86</f>
        <v>10199437.78575</v>
      </c>
      <c r="K22" s="37" t="n">
        <f aca="false">K29+K36+K43+K62+K69+K76+K83+K91+K98+K49+K55+K86</f>
        <v>11686605.63815</v>
      </c>
      <c r="L22" s="37" t="n">
        <f aca="false">L29+L36+L43+L62+L69+L76+L83+L91+L98+L86+L158+L105+L207+L214+L217+L108+L55</f>
        <v>12631294.87961</v>
      </c>
      <c r="M22" s="37" t="n">
        <f aca="false">M29+M36+M43+M62+M69+M76+M83+M91+M98+M86+M158+M105+M207+M214+M217+M108+M55+M246</f>
        <v>13977884.46686</v>
      </c>
      <c r="N22" s="37" t="n">
        <f aca="false">N29+N36+N43+N62+N69+N76+N83+N91+N98+N86+N158+N105+N207+N214+N217+N108+N55+N246</f>
        <v>12702582.6331781</v>
      </c>
      <c r="O22" s="37" t="n">
        <f aca="false">O29+O36+O43+O62+O69+O76+O83+O91+O98+O86+O158+O105+O207+O214+O217+O108+O55+O246+O253</f>
        <v>13862454.00418</v>
      </c>
      <c r="P22" s="37" t="n">
        <f aca="false">P29+P36+P43+P62+P69+P76+P83+P91+P98+P86+P158+P105+P207+P214+P217+P108+P55+P246+P253</f>
        <v>14802518.48077</v>
      </c>
      <c r="Q22" s="37" t="n">
        <f aca="false">Q29+Q36+Q43+Q62+Q69+Q76+Q83+Q91+Q98+Q86+Q158+Q105+Q207+Q214+Q217+Q108+Q55+Q246+Q253</f>
        <v>14117909.71327</v>
      </c>
      <c r="R22" s="37" t="n">
        <f aca="false">R29+R36+R43+R62+R69+R76+R83+R91+R98+R86+R158+R105+R207+R214+R217+R108+R55+R246+R253</f>
        <v>13788228.34023</v>
      </c>
      <c r="T22" s="11" t="n">
        <f aca="false">1298148.5-P21</f>
        <v>0</v>
      </c>
      <c r="U22" s="11" t="n">
        <f aca="false">1128122.7-Q21</f>
        <v>-2.3283064365387E-010</v>
      </c>
      <c r="V22" s="11" t="n">
        <f aca="false">690956.6-R21</f>
        <v>0</v>
      </c>
    </row>
    <row r="23" s="42" customFormat="true" ht="24" hidden="false" customHeight="false" outlineLevel="0" collapsed="false">
      <c r="A23" s="52"/>
      <c r="B23" s="41"/>
      <c r="C23" s="31" t="s">
        <v>33</v>
      </c>
      <c r="D23" s="36"/>
      <c r="E23" s="34"/>
      <c r="F23" s="37" t="n">
        <f aca="false">SUM(G23:R23)</f>
        <v>299937.139262844</v>
      </c>
      <c r="G23" s="37" t="n">
        <f aca="false">G30+G37+G44+G63+G70+G77+G84+G92+G87</f>
        <v>30854.868</v>
      </c>
      <c r="H23" s="37" t="n">
        <f aca="false">H30+H37+H44+H63+H70+H77+H84+H92+H99+H87</f>
        <v>82266.87979</v>
      </c>
      <c r="I23" s="37" t="n">
        <f aca="false">I30+I37+I44+I63+I70+I77+I84+I92+I99</f>
        <v>44940.41158</v>
      </c>
      <c r="J23" s="37" t="n">
        <f aca="false">J30+J37+J44+J63+J70+J77+J84+J92+J99</f>
        <v>206.09879</v>
      </c>
      <c r="K23" s="37" t="n">
        <f aca="false">K30+K37+K44+K63+K70+K77+K84+K92+K99</f>
        <v>2675.28693</v>
      </c>
      <c r="L23" s="37" t="n">
        <f aca="false">L37+L44+L77+L106+L109+L159+L30+L215</f>
        <v>45184.39746</v>
      </c>
      <c r="M23" s="37" t="n">
        <f aca="false">M30+M37+M44+M63+M70+M77+M84+M92+M99+M106+M166</f>
        <v>26755.3150554445</v>
      </c>
      <c r="N23" s="37" t="n">
        <f aca="false">N30+N37+N44+N63+N70+N77+N84+N92+N99+N106+N166</f>
        <v>37507.87094</v>
      </c>
      <c r="O23" s="37" t="n">
        <f aca="false">O44+O77+O84+O87+O106+O109+O159+O215+O218+O37</f>
        <v>25091.80543</v>
      </c>
      <c r="P23" s="37" t="n">
        <f aca="false">P37+P77+P84+P87+P106+P109+P166+P215+P218</f>
        <v>4454.2052874</v>
      </c>
      <c r="Q23" s="37" t="n">
        <f aca="false">Q44+Q77+Q84+Q87+Q106+Q109+Q166+Q215+Q218</f>
        <v>0</v>
      </c>
      <c r="R23" s="37" t="n">
        <f aca="false">R44+R77+R84+R87+R106+R109+R166+R215+R218</f>
        <v>0</v>
      </c>
      <c r="T23" s="11" t="n">
        <f aca="false">16100666.98077-P21-P22</f>
        <v>-1.86264514923096E-009</v>
      </c>
      <c r="U23" s="11" t="n">
        <f aca="false">Q20-Q21-Q22</f>
        <v>-3.72529029846191E-009</v>
      </c>
      <c r="V23" s="11" t="n">
        <f aca="false">R20-R21-R22</f>
        <v>0</v>
      </c>
    </row>
    <row r="24" s="42" customFormat="true" ht="36" hidden="false" customHeight="false" outlineLevel="0" collapsed="false">
      <c r="A24" s="52"/>
      <c r="B24" s="41"/>
      <c r="C24" s="31" t="s">
        <v>34</v>
      </c>
      <c r="D24" s="36"/>
      <c r="E24" s="34"/>
      <c r="F24" s="37" t="n">
        <f aca="false">SUM(G24:R24)</f>
        <v>0</v>
      </c>
      <c r="G24" s="37" t="n">
        <v>0</v>
      </c>
      <c r="H24" s="37" t="n">
        <v>0</v>
      </c>
      <c r="I24" s="37" t="n">
        <v>0</v>
      </c>
      <c r="J24" s="37" t="n">
        <v>0</v>
      </c>
      <c r="K24" s="37" t="n">
        <v>0</v>
      </c>
      <c r="L24" s="37" t="n">
        <v>0</v>
      </c>
      <c r="M24" s="37" t="n">
        <f aca="false">L24*104/100</f>
        <v>0</v>
      </c>
      <c r="N24" s="37" t="n">
        <v>0</v>
      </c>
      <c r="O24" s="33" t="n">
        <v>0</v>
      </c>
      <c r="P24" s="33" t="n">
        <v>0</v>
      </c>
      <c r="Q24" s="33" t="n">
        <v>0</v>
      </c>
      <c r="R24" s="37" t="n">
        <v>0</v>
      </c>
      <c r="T24" s="49"/>
      <c r="U24" s="49"/>
      <c r="V24" s="49"/>
    </row>
    <row r="25" s="42" customFormat="true" ht="24" hidden="false" customHeight="false" outlineLevel="0" collapsed="false">
      <c r="A25" s="52"/>
      <c r="B25" s="41"/>
      <c r="C25" s="31" t="s">
        <v>35</v>
      </c>
      <c r="D25" s="36"/>
      <c r="E25" s="34"/>
      <c r="F25" s="37" t="n">
        <f aca="false">SUM(G25:R25)</f>
        <v>0</v>
      </c>
      <c r="G25" s="37" t="n">
        <v>0</v>
      </c>
      <c r="H25" s="37" t="n">
        <v>0</v>
      </c>
      <c r="I25" s="37" t="n">
        <v>0</v>
      </c>
      <c r="J25" s="37" t="n">
        <v>0</v>
      </c>
      <c r="K25" s="37" t="n">
        <v>0</v>
      </c>
      <c r="L25" s="37" t="n">
        <v>0</v>
      </c>
      <c r="M25" s="37" t="n">
        <f aca="false">L25*104/100</f>
        <v>0</v>
      </c>
      <c r="N25" s="37" t="n">
        <v>0</v>
      </c>
      <c r="O25" s="33" t="n">
        <v>0</v>
      </c>
      <c r="P25" s="33" t="n">
        <v>0</v>
      </c>
      <c r="Q25" s="33" t="n">
        <v>0</v>
      </c>
      <c r="R25" s="37" t="n">
        <v>0</v>
      </c>
      <c r="T25" s="49"/>
      <c r="U25" s="49"/>
      <c r="V25" s="49"/>
    </row>
    <row r="26" s="42" customFormat="true" ht="72" hidden="false" customHeight="false" outlineLevel="0" collapsed="false">
      <c r="A26" s="52"/>
      <c r="B26" s="41"/>
      <c r="C26" s="31" t="s">
        <v>36</v>
      </c>
      <c r="D26" s="36"/>
      <c r="E26" s="34"/>
      <c r="F26" s="37" t="n">
        <f aca="false">SUM(G26:R26)</f>
        <v>0</v>
      </c>
      <c r="G26" s="37" t="n">
        <v>0</v>
      </c>
      <c r="H26" s="37" t="n">
        <v>0</v>
      </c>
      <c r="I26" s="37" t="n">
        <v>0</v>
      </c>
      <c r="J26" s="37" t="n">
        <v>0</v>
      </c>
      <c r="K26" s="37" t="n">
        <v>0</v>
      </c>
      <c r="L26" s="37" t="n">
        <v>0</v>
      </c>
      <c r="M26" s="37" t="n">
        <f aca="false">L26*104/100</f>
        <v>0</v>
      </c>
      <c r="N26" s="37" t="n">
        <v>0</v>
      </c>
      <c r="O26" s="33" t="n">
        <v>0</v>
      </c>
      <c r="P26" s="33" t="n">
        <v>0</v>
      </c>
      <c r="Q26" s="33" t="n">
        <v>0</v>
      </c>
      <c r="R26" s="37" t="n">
        <v>0</v>
      </c>
      <c r="T26" s="49"/>
      <c r="U26" s="49"/>
      <c r="V26" s="49"/>
    </row>
    <row r="27" s="42" customFormat="true" ht="15" hidden="false" customHeight="true" outlineLevel="0" collapsed="false">
      <c r="A27" s="40" t="s">
        <v>40</v>
      </c>
      <c r="B27" s="54" t="s">
        <v>41</v>
      </c>
      <c r="C27" s="31" t="s">
        <v>30</v>
      </c>
      <c r="D27" s="36" t="s">
        <v>42</v>
      </c>
      <c r="E27" s="36" t="s">
        <v>43</v>
      </c>
      <c r="F27" s="37" t="n">
        <f aca="false">SUM(G27:R27)</f>
        <v>34955880.68836</v>
      </c>
      <c r="G27" s="37" t="n">
        <f aca="false">SUM(G28:G33)</f>
        <v>2084482.66089</v>
      </c>
      <c r="H27" s="37" t="n">
        <f aca="false">SUM(H28:H33)</f>
        <v>2113668.50652</v>
      </c>
      <c r="I27" s="37" t="n">
        <f aca="false">SUM(I28:I33)</f>
        <v>2242962.29095</v>
      </c>
      <c r="J27" s="37" t="n">
        <f aca="false">SUM(J28:J33)</f>
        <v>2330132.65079</v>
      </c>
      <c r="K27" s="37" t="n">
        <f aca="false">SUM(K28:K33)</f>
        <v>2579676.89544</v>
      </c>
      <c r="L27" s="37" t="n">
        <f aca="false">SUM(L28:L33)</f>
        <v>2845197.75405</v>
      </c>
      <c r="M27" s="37" t="n">
        <f aca="false">SUM(M28:M33)</f>
        <v>3037372.19472</v>
      </c>
      <c r="N27" s="37" t="n">
        <f aca="false">SUM(N28:N33)</f>
        <v>3262760.06171</v>
      </c>
      <c r="O27" s="37" t="n">
        <f aca="false">SUM(O28:O33)</f>
        <v>3445766.61829</v>
      </c>
      <c r="P27" s="37" t="n">
        <f aca="false">SUM(P28:P33)</f>
        <v>3660740.413</v>
      </c>
      <c r="Q27" s="37" t="n">
        <f aca="false">SUM(Q28:Q33)</f>
        <v>3676560.321</v>
      </c>
      <c r="R27" s="37" t="n">
        <f aca="false">SUM(R28:R33)</f>
        <v>3676560.321</v>
      </c>
      <c r="T27" s="49"/>
      <c r="U27" s="49"/>
      <c r="V27" s="49"/>
    </row>
    <row r="28" s="42" customFormat="true" ht="36" hidden="false" customHeight="false" outlineLevel="0" collapsed="false">
      <c r="A28" s="40"/>
      <c r="B28" s="54"/>
      <c r="C28" s="31" t="s">
        <v>31</v>
      </c>
      <c r="D28" s="34"/>
      <c r="E28" s="34"/>
      <c r="F28" s="37" t="n">
        <f aca="false">SUM(G28:R28)</f>
        <v>0</v>
      </c>
      <c r="G28" s="37" t="n">
        <v>0</v>
      </c>
      <c r="H28" s="37" t="n">
        <v>0</v>
      </c>
      <c r="I28" s="37" t="n">
        <v>0</v>
      </c>
      <c r="J28" s="37" t="n">
        <v>0</v>
      </c>
      <c r="K28" s="37" t="n">
        <v>0</v>
      </c>
      <c r="L28" s="37" t="n">
        <v>0</v>
      </c>
      <c r="M28" s="37" t="n">
        <f aca="false">L28*104/100</f>
        <v>0</v>
      </c>
      <c r="N28" s="37" t="n">
        <v>0</v>
      </c>
      <c r="O28" s="33" t="n">
        <v>0</v>
      </c>
      <c r="P28" s="33" t="n">
        <v>0</v>
      </c>
      <c r="Q28" s="33" t="n">
        <v>0</v>
      </c>
      <c r="R28" s="37" t="n">
        <v>0</v>
      </c>
      <c r="T28" s="49"/>
      <c r="U28" s="49"/>
      <c r="V28" s="49"/>
    </row>
    <row r="29" s="42" customFormat="true" ht="24" hidden="false" customHeight="false" outlineLevel="0" collapsed="false">
      <c r="A29" s="40"/>
      <c r="B29" s="54"/>
      <c r="C29" s="31" t="s">
        <v>32</v>
      </c>
      <c r="D29" s="34"/>
      <c r="E29" s="34"/>
      <c r="F29" s="37" t="n">
        <f aca="false">SUM(G29:R29)</f>
        <v>34878960.59696</v>
      </c>
      <c r="G29" s="37" t="n">
        <v>2067565.56605</v>
      </c>
      <c r="H29" s="37" t="n">
        <v>2079172.03076</v>
      </c>
      <c r="I29" s="37" t="n">
        <v>2217655.77015</v>
      </c>
      <c r="J29" s="37" t="n">
        <v>2330132.65079</v>
      </c>
      <c r="K29" s="37" t="n">
        <v>2579676.89544</v>
      </c>
      <c r="L29" s="37" t="n">
        <v>2845097.75405</v>
      </c>
      <c r="M29" s="37" t="n">
        <v>3037272.19472</v>
      </c>
      <c r="N29" s="37" t="n">
        <v>3262760.06171</v>
      </c>
      <c r="O29" s="37" t="n">
        <v>3445766.61829</v>
      </c>
      <c r="P29" s="37" t="n">
        <v>3660740.413</v>
      </c>
      <c r="Q29" s="37" t="n">
        <v>3676560.321</v>
      </c>
      <c r="R29" s="37" t="n">
        <v>3676560.321</v>
      </c>
      <c r="T29" s="49"/>
      <c r="U29" s="49"/>
      <c r="V29" s="49"/>
    </row>
    <row r="30" s="42" customFormat="true" ht="24" hidden="false" customHeight="false" outlineLevel="0" collapsed="false">
      <c r="A30" s="40"/>
      <c r="B30" s="54"/>
      <c r="C30" s="31" t="s">
        <v>33</v>
      </c>
      <c r="D30" s="36"/>
      <c r="E30" s="34"/>
      <c r="F30" s="37" t="n">
        <f aca="false">SUM(G30:R30)</f>
        <v>76920.0914</v>
      </c>
      <c r="G30" s="37" t="n">
        <v>16917.09484</v>
      </c>
      <c r="H30" s="37" t="n">
        <v>34496.47576</v>
      </c>
      <c r="I30" s="37" t="n">
        <v>25306.5208</v>
      </c>
      <c r="J30" s="37" t="n">
        <v>0</v>
      </c>
      <c r="K30" s="37" t="n">
        <v>0</v>
      </c>
      <c r="L30" s="37" t="n">
        <v>100</v>
      </c>
      <c r="M30" s="37" t="n">
        <v>100</v>
      </c>
      <c r="N30" s="37" t="n">
        <v>0</v>
      </c>
      <c r="O30" s="33" t="n">
        <v>0</v>
      </c>
      <c r="P30" s="33" t="n">
        <v>0</v>
      </c>
      <c r="Q30" s="33" t="n">
        <v>0</v>
      </c>
      <c r="R30" s="37" t="n">
        <v>0</v>
      </c>
      <c r="T30" s="49"/>
      <c r="U30" s="49"/>
      <c r="V30" s="49"/>
    </row>
    <row r="31" s="42" customFormat="true" ht="36" hidden="false" customHeight="false" outlineLevel="0" collapsed="false">
      <c r="A31" s="40"/>
      <c r="B31" s="54"/>
      <c r="C31" s="31" t="s">
        <v>34</v>
      </c>
      <c r="D31" s="36"/>
      <c r="E31" s="36"/>
      <c r="F31" s="37" t="n">
        <v>0</v>
      </c>
      <c r="G31" s="37" t="n">
        <v>0</v>
      </c>
      <c r="H31" s="37" t="n">
        <v>0</v>
      </c>
      <c r="I31" s="37" t="n">
        <v>0</v>
      </c>
      <c r="J31" s="37" t="n">
        <v>0</v>
      </c>
      <c r="K31" s="37" t="n">
        <v>0</v>
      </c>
      <c r="L31" s="37" t="n">
        <v>0</v>
      </c>
      <c r="M31" s="37" t="n">
        <f aca="false">L31*104/100</f>
        <v>0</v>
      </c>
      <c r="N31" s="37" t="n">
        <v>0</v>
      </c>
      <c r="O31" s="33" t="n">
        <v>0</v>
      </c>
      <c r="P31" s="33" t="n">
        <v>0</v>
      </c>
      <c r="Q31" s="33" t="n">
        <v>0</v>
      </c>
      <c r="R31" s="37" t="n">
        <v>0</v>
      </c>
      <c r="T31" s="55"/>
      <c r="U31" s="55"/>
      <c r="V31" s="55"/>
    </row>
    <row r="32" s="42" customFormat="true" ht="24" hidden="false" customHeight="false" outlineLevel="0" collapsed="false">
      <c r="A32" s="40"/>
      <c r="B32" s="54"/>
      <c r="C32" s="31" t="s">
        <v>35</v>
      </c>
      <c r="D32" s="36"/>
      <c r="E32" s="36"/>
      <c r="F32" s="37" t="n">
        <v>0</v>
      </c>
      <c r="G32" s="37" t="n">
        <v>0</v>
      </c>
      <c r="H32" s="37" t="n">
        <v>0</v>
      </c>
      <c r="I32" s="37" t="n">
        <v>0</v>
      </c>
      <c r="J32" s="37" t="n">
        <v>0</v>
      </c>
      <c r="K32" s="37" t="n">
        <v>0</v>
      </c>
      <c r="L32" s="37" t="n">
        <v>0</v>
      </c>
      <c r="M32" s="37" t="n">
        <f aca="false">L32*104/100</f>
        <v>0</v>
      </c>
      <c r="N32" s="37" t="n">
        <v>0</v>
      </c>
      <c r="O32" s="33" t="n">
        <v>0</v>
      </c>
      <c r="P32" s="33" t="n">
        <v>0</v>
      </c>
      <c r="Q32" s="33" t="n">
        <v>0</v>
      </c>
      <c r="R32" s="37" t="n">
        <v>0</v>
      </c>
      <c r="T32" s="55"/>
      <c r="U32" s="55"/>
      <c r="V32" s="55"/>
    </row>
    <row r="33" s="42" customFormat="true" ht="72" hidden="false" customHeight="false" outlineLevel="0" collapsed="false">
      <c r="A33" s="40"/>
      <c r="B33" s="54"/>
      <c r="C33" s="31" t="s">
        <v>36</v>
      </c>
      <c r="D33" s="36"/>
      <c r="E33" s="36"/>
      <c r="F33" s="37" t="n">
        <v>0</v>
      </c>
      <c r="G33" s="37" t="n">
        <v>0</v>
      </c>
      <c r="H33" s="37" t="n">
        <v>0</v>
      </c>
      <c r="I33" s="37" t="n">
        <v>0</v>
      </c>
      <c r="J33" s="37" t="n">
        <v>0</v>
      </c>
      <c r="K33" s="37" t="n">
        <v>0</v>
      </c>
      <c r="L33" s="37" t="n">
        <v>0</v>
      </c>
      <c r="M33" s="37" t="n">
        <f aca="false">L33*104/100</f>
        <v>0</v>
      </c>
      <c r="N33" s="37" t="n">
        <v>0</v>
      </c>
      <c r="O33" s="33" t="n">
        <v>0</v>
      </c>
      <c r="P33" s="33" t="n">
        <v>0</v>
      </c>
      <c r="Q33" s="33" t="n">
        <v>0</v>
      </c>
      <c r="R33" s="37" t="n">
        <v>0</v>
      </c>
      <c r="T33" s="55"/>
      <c r="U33" s="55"/>
      <c r="V33" s="55"/>
    </row>
    <row r="34" s="42" customFormat="true" ht="19.4" hidden="false" customHeight="true" outlineLevel="0" collapsed="false">
      <c r="A34" s="40" t="s">
        <v>44</v>
      </c>
      <c r="B34" s="54" t="s">
        <v>45</v>
      </c>
      <c r="C34" s="31" t="s">
        <v>30</v>
      </c>
      <c r="D34" s="36" t="s">
        <v>42</v>
      </c>
      <c r="E34" s="36" t="s">
        <v>43</v>
      </c>
      <c r="F34" s="37" t="n">
        <f aca="false">G34+H34+I34+M34+N34+J34+K34+L34+O34+P34+Q34+R34</f>
        <v>85916243.55381</v>
      </c>
      <c r="G34" s="37" t="n">
        <f aca="false">SUM(G35:G40)</f>
        <v>5181796.25213</v>
      </c>
      <c r="H34" s="37" t="n">
        <f aca="false">SUM(H35:H40)</f>
        <v>5427764.90282</v>
      </c>
      <c r="I34" s="37" t="n">
        <f aca="false">SUM(I35:I40)</f>
        <v>5551026.77549</v>
      </c>
      <c r="J34" s="37" t="n">
        <f aca="false">SUM(J35:J40)</f>
        <v>5827149.22857</v>
      </c>
      <c r="K34" s="37" t="n">
        <f aca="false">SUM(K35:K40)</f>
        <v>6398582.29965</v>
      </c>
      <c r="L34" s="37" t="n">
        <f aca="false">SUM(L35:L40)</f>
        <v>7169706.65417</v>
      </c>
      <c r="M34" s="37" t="n">
        <f aca="false">SUM(M35:M40)</f>
        <v>7740198.74994</v>
      </c>
      <c r="N34" s="37" t="n">
        <f aca="false">SUM(N35:N40)</f>
        <v>8025594.93642</v>
      </c>
      <c r="O34" s="37" t="n">
        <f aca="false">SUM(O35:O40)</f>
        <v>8324024.9038</v>
      </c>
      <c r="P34" s="37" t="n">
        <f aca="false">SUM(P35:P40)</f>
        <v>8773250.35682</v>
      </c>
      <c r="Q34" s="37" t="n">
        <f aca="false">SUM(Q35:Q40)</f>
        <v>8748574.247</v>
      </c>
      <c r="R34" s="37" t="n">
        <f aca="false">SUM(R35:R40)</f>
        <v>8748574.247</v>
      </c>
      <c r="T34" s="49"/>
      <c r="U34" s="49"/>
      <c r="V34" s="49"/>
      <c r="W34" s="44"/>
    </row>
    <row r="35" s="42" customFormat="true" ht="37.3" hidden="false" customHeight="true" outlineLevel="0" collapsed="false">
      <c r="A35" s="40"/>
      <c r="B35" s="54"/>
      <c r="C35" s="31" t="s">
        <v>31</v>
      </c>
      <c r="D35" s="36"/>
      <c r="E35" s="36"/>
      <c r="F35" s="37" t="n">
        <f aca="false">SUM(G35:R35)</f>
        <v>150810.4</v>
      </c>
      <c r="G35" s="37" t="n">
        <v>0</v>
      </c>
      <c r="H35" s="37" t="n">
        <v>0</v>
      </c>
      <c r="I35" s="37" t="n">
        <v>0</v>
      </c>
      <c r="J35" s="37" t="n">
        <v>0</v>
      </c>
      <c r="K35" s="37" t="n">
        <v>0</v>
      </c>
      <c r="L35" s="37" t="n">
        <v>0</v>
      </c>
      <c r="M35" s="37" t="n">
        <v>100385.9</v>
      </c>
      <c r="N35" s="37" t="n">
        <v>50424.5</v>
      </c>
      <c r="O35" s="33" t="n">
        <v>0</v>
      </c>
      <c r="P35" s="33" t="n">
        <v>0</v>
      </c>
      <c r="Q35" s="33" t="n">
        <v>0</v>
      </c>
      <c r="R35" s="37" t="n">
        <v>0</v>
      </c>
      <c r="T35" s="49"/>
      <c r="U35" s="49"/>
      <c r="V35" s="49"/>
      <c r="W35" s="44"/>
    </row>
    <row r="36" s="42" customFormat="true" ht="24.85" hidden="false" customHeight="false" outlineLevel="0" collapsed="false">
      <c r="A36" s="40"/>
      <c r="B36" s="54"/>
      <c r="C36" s="31" t="s">
        <v>32</v>
      </c>
      <c r="D36" s="36"/>
      <c r="E36" s="36"/>
      <c r="F36" s="37" t="n">
        <f aca="false">SUM(G36:R36)</f>
        <v>85701364.93191</v>
      </c>
      <c r="G36" s="37" t="n">
        <v>5178303.52713</v>
      </c>
      <c r="H36" s="37" t="n">
        <v>5394376.26898</v>
      </c>
      <c r="I36" s="37" t="n">
        <v>5545163.66706</v>
      </c>
      <c r="J36" s="37" t="n">
        <v>5827149.22857</v>
      </c>
      <c r="K36" s="37" t="n">
        <v>6398582.29965</v>
      </c>
      <c r="L36" s="37" t="n">
        <v>7153118.60439</v>
      </c>
      <c r="M36" s="37" t="n">
        <v>7639812.84994</v>
      </c>
      <c r="N36" s="37" t="n">
        <v>7975170.43642</v>
      </c>
      <c r="O36" s="37" t="n">
        <v>8321003.48466</v>
      </c>
      <c r="P36" s="37" t="n">
        <v>8771536.07111</v>
      </c>
      <c r="Q36" s="37" t="n">
        <v>8748574.247</v>
      </c>
      <c r="R36" s="37" t="n">
        <v>8748574.247</v>
      </c>
      <c r="T36" s="49"/>
      <c r="U36" s="49"/>
      <c r="V36" s="49"/>
      <c r="W36" s="44"/>
    </row>
    <row r="37" s="42" customFormat="true" ht="28.35" hidden="false" customHeight="true" outlineLevel="0" collapsed="false">
      <c r="A37" s="40"/>
      <c r="B37" s="54"/>
      <c r="C37" s="31" t="s">
        <v>33</v>
      </c>
      <c r="D37" s="36"/>
      <c r="E37" s="36"/>
      <c r="F37" s="37" t="n">
        <f aca="false">SUM(G37:R37)</f>
        <v>64068.2219</v>
      </c>
      <c r="G37" s="37" t="n">
        <v>3492.725</v>
      </c>
      <c r="H37" s="37" t="n">
        <v>33388.63384</v>
      </c>
      <c r="I37" s="37" t="n">
        <v>5863.10843</v>
      </c>
      <c r="J37" s="37" t="n">
        <v>0</v>
      </c>
      <c r="K37" s="37" t="n">
        <v>0</v>
      </c>
      <c r="L37" s="37" t="n">
        <v>16588.04978</v>
      </c>
      <c r="M37" s="37" t="n">
        <v>0</v>
      </c>
      <c r="N37" s="37" t="n">
        <v>0</v>
      </c>
      <c r="O37" s="33" t="n">
        <v>3021.41914</v>
      </c>
      <c r="P37" s="33" t="n">
        <v>1714.28571</v>
      </c>
      <c r="Q37" s="33" t="n">
        <v>0</v>
      </c>
      <c r="R37" s="37" t="n">
        <v>0</v>
      </c>
      <c r="T37" s="49"/>
      <c r="U37" s="49"/>
      <c r="V37" s="49"/>
      <c r="W37" s="44"/>
    </row>
    <row r="38" s="42" customFormat="true" ht="35.05" hidden="false" customHeight="false" outlineLevel="0" collapsed="false">
      <c r="A38" s="40"/>
      <c r="B38" s="54"/>
      <c r="C38" s="31" t="s">
        <v>34</v>
      </c>
      <c r="D38" s="36"/>
      <c r="E38" s="36"/>
      <c r="F38" s="37" t="n">
        <v>0</v>
      </c>
      <c r="G38" s="37" t="n">
        <v>0</v>
      </c>
      <c r="H38" s="37" t="n">
        <v>0</v>
      </c>
      <c r="I38" s="37" t="n">
        <v>0</v>
      </c>
      <c r="J38" s="37" t="n">
        <v>0</v>
      </c>
      <c r="K38" s="37" t="n">
        <v>0</v>
      </c>
      <c r="L38" s="37" t="n">
        <v>0</v>
      </c>
      <c r="M38" s="37" t="n">
        <f aca="false">L38*104/100</f>
        <v>0</v>
      </c>
      <c r="N38" s="37" t="n">
        <v>0</v>
      </c>
      <c r="O38" s="33" t="n">
        <v>0</v>
      </c>
      <c r="P38" s="33" t="n">
        <v>0</v>
      </c>
      <c r="Q38" s="33" t="n">
        <v>0</v>
      </c>
      <c r="R38" s="37" t="n">
        <v>0</v>
      </c>
      <c r="T38" s="49"/>
      <c r="U38" s="49"/>
      <c r="V38" s="49"/>
      <c r="W38" s="44"/>
    </row>
    <row r="39" s="42" customFormat="true" ht="26.1" hidden="false" customHeight="true" outlineLevel="0" collapsed="false">
      <c r="A39" s="40"/>
      <c r="B39" s="54"/>
      <c r="C39" s="31" t="s">
        <v>35</v>
      </c>
      <c r="D39" s="36"/>
      <c r="E39" s="36"/>
      <c r="F39" s="37" t="n">
        <v>0</v>
      </c>
      <c r="G39" s="37" t="n">
        <v>0</v>
      </c>
      <c r="H39" s="37" t="n">
        <v>0</v>
      </c>
      <c r="I39" s="37" t="n">
        <v>0</v>
      </c>
      <c r="J39" s="37" t="n">
        <v>0</v>
      </c>
      <c r="K39" s="37" t="n">
        <v>0</v>
      </c>
      <c r="L39" s="37" t="n">
        <v>0</v>
      </c>
      <c r="M39" s="37" t="n">
        <f aca="false">L39*104/100</f>
        <v>0</v>
      </c>
      <c r="N39" s="37" t="n">
        <v>0</v>
      </c>
      <c r="O39" s="33" t="n">
        <v>0</v>
      </c>
      <c r="P39" s="33" t="n">
        <v>0</v>
      </c>
      <c r="Q39" s="33" t="n">
        <v>0</v>
      </c>
      <c r="R39" s="37" t="n">
        <v>0</v>
      </c>
      <c r="T39" s="49"/>
      <c r="U39" s="49"/>
      <c r="V39" s="49"/>
      <c r="W39" s="44"/>
    </row>
    <row r="40" s="42" customFormat="true" ht="69.65" hidden="false" customHeight="false" outlineLevel="0" collapsed="false">
      <c r="A40" s="40"/>
      <c r="B40" s="54"/>
      <c r="C40" s="31" t="s">
        <v>36</v>
      </c>
      <c r="D40" s="36"/>
      <c r="E40" s="36"/>
      <c r="F40" s="37" t="n">
        <v>0</v>
      </c>
      <c r="G40" s="37" t="n">
        <v>0</v>
      </c>
      <c r="H40" s="37" t="n">
        <v>0</v>
      </c>
      <c r="I40" s="37" t="n">
        <v>0</v>
      </c>
      <c r="J40" s="37" t="n">
        <v>0</v>
      </c>
      <c r="K40" s="37" t="n">
        <v>0</v>
      </c>
      <c r="L40" s="37" t="n">
        <v>0</v>
      </c>
      <c r="M40" s="37" t="n">
        <f aca="false">L40*104/100</f>
        <v>0</v>
      </c>
      <c r="N40" s="37" t="n">
        <v>0</v>
      </c>
      <c r="O40" s="33" t="n">
        <v>0</v>
      </c>
      <c r="P40" s="33" t="n">
        <v>0</v>
      </c>
      <c r="Q40" s="33" t="n">
        <v>0</v>
      </c>
      <c r="R40" s="37" t="n">
        <v>0</v>
      </c>
      <c r="T40" s="49"/>
      <c r="U40" s="49"/>
      <c r="V40" s="49"/>
      <c r="W40" s="44"/>
    </row>
    <row r="41" s="42" customFormat="true" ht="17.15" hidden="false" customHeight="true" outlineLevel="0" collapsed="false">
      <c r="A41" s="40" t="s">
        <v>46</v>
      </c>
      <c r="B41" s="54" t="s">
        <v>47</v>
      </c>
      <c r="C41" s="31" t="s">
        <v>30</v>
      </c>
      <c r="D41" s="36"/>
      <c r="E41" s="36"/>
      <c r="F41" s="37" t="n">
        <f aca="false">SUM(G41:R41)</f>
        <v>10093710.27715</v>
      </c>
      <c r="G41" s="37" t="n">
        <f aca="false">SUM(G42:G57)</f>
        <v>849095.61717</v>
      </c>
      <c r="H41" s="37" t="n">
        <f aca="false">SUM(H42:H57)</f>
        <v>939381.95628</v>
      </c>
      <c r="I41" s="37" t="n">
        <f aca="false">SUM(I42:I57)</f>
        <v>1006041.84872</v>
      </c>
      <c r="J41" s="37" t="n">
        <f aca="false">SUM(J42:J57)</f>
        <v>1087843.265</v>
      </c>
      <c r="K41" s="37" t="n">
        <f aca="false">SUM(K42:K57)</f>
        <v>1273162.11409</v>
      </c>
      <c r="L41" s="37" t="n">
        <f aca="false">SUM(L42:L57)</f>
        <v>1304789.0723</v>
      </c>
      <c r="M41" s="37" t="n">
        <f aca="false">SUM(M42:M57)</f>
        <v>1392040.83454</v>
      </c>
      <c r="N41" s="37" t="n">
        <f aca="false">SUM(N42:N59)</f>
        <v>446855.45261</v>
      </c>
      <c r="O41" s="37" t="n">
        <f aca="false">SUM(O42:O57)</f>
        <v>444349.30144</v>
      </c>
      <c r="P41" s="37" t="n">
        <f aca="false">SUM(P42:P57)</f>
        <v>454095.605</v>
      </c>
      <c r="Q41" s="37" t="n">
        <f aca="false">SUM(Q42:Q57)</f>
        <v>448027.605</v>
      </c>
      <c r="R41" s="37" t="n">
        <f aca="false">SUM(R42:R57)</f>
        <v>448027.605</v>
      </c>
      <c r="T41" s="49"/>
      <c r="U41" s="49"/>
      <c r="V41" s="49"/>
      <c r="W41" s="44"/>
    </row>
    <row r="42" s="42" customFormat="true" ht="36" hidden="false" customHeight="false" outlineLevel="0" collapsed="false">
      <c r="A42" s="40"/>
      <c r="B42" s="54"/>
      <c r="C42" s="31" t="s">
        <v>31</v>
      </c>
      <c r="D42" s="36" t="s">
        <v>42</v>
      </c>
      <c r="E42" s="36" t="s">
        <v>43</v>
      </c>
      <c r="F42" s="37" t="n">
        <f aca="false">SUM(G42:R42)</f>
        <v>115394.5</v>
      </c>
      <c r="G42" s="37" t="n">
        <v>7626.4</v>
      </c>
      <c r="H42" s="37" t="n">
        <v>5274</v>
      </c>
      <c r="I42" s="37" t="n">
        <v>3811.5</v>
      </c>
      <c r="J42" s="37" t="n">
        <v>3891.5</v>
      </c>
      <c r="K42" s="37" t="n">
        <f aca="false">78939.8+3833.7+1870.3</f>
        <v>84643.8</v>
      </c>
      <c r="L42" s="37" t="n">
        <v>5098</v>
      </c>
      <c r="M42" s="37" t="n">
        <v>5049.3</v>
      </c>
      <c r="N42" s="37" t="n">
        <v>0</v>
      </c>
      <c r="O42" s="37" t="n">
        <v>0</v>
      </c>
      <c r="P42" s="37" t="n">
        <v>0</v>
      </c>
      <c r="Q42" s="37" t="n">
        <f aca="false">P42*1.04</f>
        <v>0</v>
      </c>
      <c r="R42" s="37" t="n">
        <f aca="false">Q42*1.04</f>
        <v>0</v>
      </c>
      <c r="S42" s="53"/>
      <c r="T42" s="49"/>
      <c r="U42" s="49"/>
      <c r="V42" s="49"/>
      <c r="W42" s="44"/>
    </row>
    <row r="43" s="42" customFormat="true" ht="24" hidden="false" customHeight="false" outlineLevel="0" collapsed="false">
      <c r="A43" s="40"/>
      <c r="B43" s="54"/>
      <c r="C43" s="31" t="s">
        <v>32</v>
      </c>
      <c r="D43" s="36" t="s">
        <v>42</v>
      </c>
      <c r="E43" s="36" t="s">
        <v>43</v>
      </c>
      <c r="F43" s="37" t="n">
        <f aca="false">SUM(G43:R43)</f>
        <v>9934962.75969</v>
      </c>
      <c r="G43" s="37" t="n">
        <f aca="false">841369.21717-8170</f>
        <v>833199.21717</v>
      </c>
      <c r="H43" s="37" t="n">
        <f aca="false">934007.95628-H55</f>
        <v>927307.95628</v>
      </c>
      <c r="I43" s="37" t="n">
        <v>994430.34872</v>
      </c>
      <c r="J43" s="37" t="n">
        <v>1079100.265</v>
      </c>
      <c r="K43" s="37" t="n">
        <v>1183668.31409</v>
      </c>
      <c r="L43" s="37" t="n">
        <v>1295841.0723</v>
      </c>
      <c r="M43" s="37" t="n">
        <v>1382187.53454</v>
      </c>
      <c r="N43" s="37" t="n">
        <f aca="false">446855.45261-2127.51746</f>
        <v>444727.93515</v>
      </c>
      <c r="O43" s="37" t="n">
        <v>444349.30144</v>
      </c>
      <c r="P43" s="37" t="n">
        <v>454095.605</v>
      </c>
      <c r="Q43" s="37" t="n">
        <v>448027.605</v>
      </c>
      <c r="R43" s="37" t="n">
        <v>448027.605</v>
      </c>
      <c r="T43" s="49" t="n">
        <v>454095.605</v>
      </c>
      <c r="U43" s="49" t="n">
        <f aca="false">T43-P43</f>
        <v>0</v>
      </c>
      <c r="V43" s="49"/>
      <c r="W43" s="44"/>
    </row>
    <row r="44" s="42" customFormat="true" ht="24" hidden="false" customHeight="false" outlineLevel="0" collapsed="false">
      <c r="A44" s="40"/>
      <c r="B44" s="54"/>
      <c r="C44" s="31" t="s">
        <v>33</v>
      </c>
      <c r="D44" s="36" t="s">
        <v>42</v>
      </c>
      <c r="E44" s="36" t="s">
        <v>43</v>
      </c>
      <c r="F44" s="37" t="n">
        <f aca="false">SUM(G44:R44)</f>
        <v>504</v>
      </c>
      <c r="G44" s="37" t="n">
        <f aca="false">100</f>
        <v>100</v>
      </c>
      <c r="H44" s="37" t="n">
        <v>100</v>
      </c>
      <c r="I44" s="37" t="n">
        <v>100</v>
      </c>
      <c r="J44" s="37" t="n">
        <v>0</v>
      </c>
      <c r="K44" s="37" t="n">
        <v>0</v>
      </c>
      <c r="L44" s="37" t="n">
        <v>100</v>
      </c>
      <c r="M44" s="37" t="n">
        <f aca="false">L44*104/100</f>
        <v>104</v>
      </c>
      <c r="N44" s="37" t="n">
        <v>0</v>
      </c>
      <c r="O44" s="33" t="n">
        <v>0</v>
      </c>
      <c r="P44" s="33" t="n">
        <v>0</v>
      </c>
      <c r="Q44" s="33" t="n">
        <v>0</v>
      </c>
      <c r="R44" s="37" t="n">
        <v>0</v>
      </c>
      <c r="T44" s="49"/>
      <c r="U44" s="49"/>
      <c r="V44" s="49"/>
      <c r="W44" s="44"/>
    </row>
    <row r="45" s="42" customFormat="true" ht="36" hidden="false" customHeight="false" outlineLevel="0" collapsed="false">
      <c r="A45" s="40"/>
      <c r="B45" s="54"/>
      <c r="C45" s="31" t="s">
        <v>34</v>
      </c>
      <c r="D45" s="36"/>
      <c r="E45" s="36"/>
      <c r="F45" s="37" t="n">
        <v>0</v>
      </c>
      <c r="G45" s="37" t="n">
        <v>0</v>
      </c>
      <c r="H45" s="37" t="n">
        <v>0</v>
      </c>
      <c r="I45" s="37" t="n">
        <v>0</v>
      </c>
      <c r="J45" s="37" t="n">
        <v>0</v>
      </c>
      <c r="K45" s="37" t="n">
        <v>0</v>
      </c>
      <c r="L45" s="37" t="n">
        <v>0</v>
      </c>
      <c r="M45" s="37" t="n">
        <f aca="false">L45*104/100</f>
        <v>0</v>
      </c>
      <c r="N45" s="37" t="n">
        <v>0</v>
      </c>
      <c r="O45" s="33" t="n">
        <v>0</v>
      </c>
      <c r="P45" s="33" t="n">
        <v>0</v>
      </c>
      <c r="Q45" s="33" t="n">
        <v>0</v>
      </c>
      <c r="R45" s="37" t="n">
        <v>0</v>
      </c>
      <c r="T45" s="49"/>
      <c r="U45" s="49"/>
      <c r="V45" s="49"/>
      <c r="W45" s="44"/>
    </row>
    <row r="46" s="42" customFormat="true" ht="27.6" hidden="false" customHeight="true" outlineLevel="0" collapsed="false">
      <c r="A46" s="40"/>
      <c r="B46" s="54"/>
      <c r="C46" s="31" t="s">
        <v>35</v>
      </c>
      <c r="D46" s="36"/>
      <c r="E46" s="36"/>
      <c r="F46" s="37" t="n">
        <v>0</v>
      </c>
      <c r="G46" s="37" t="n">
        <v>0</v>
      </c>
      <c r="H46" s="37" t="n">
        <v>0</v>
      </c>
      <c r="I46" s="37" t="n">
        <v>0</v>
      </c>
      <c r="J46" s="37" t="n">
        <v>0</v>
      </c>
      <c r="K46" s="37" t="n">
        <v>0</v>
      </c>
      <c r="L46" s="37" t="n">
        <v>0</v>
      </c>
      <c r="M46" s="37" t="n">
        <f aca="false">L46*104/100</f>
        <v>0</v>
      </c>
      <c r="N46" s="37" t="n">
        <v>0</v>
      </c>
      <c r="O46" s="33" t="n">
        <v>0</v>
      </c>
      <c r="P46" s="33" t="n">
        <v>0</v>
      </c>
      <c r="Q46" s="33" t="n">
        <v>0</v>
      </c>
      <c r="R46" s="37" t="n">
        <v>0</v>
      </c>
      <c r="T46" s="49"/>
      <c r="U46" s="49"/>
      <c r="V46" s="49"/>
      <c r="W46" s="44"/>
    </row>
    <row r="47" s="42" customFormat="true" ht="70.85" hidden="false" customHeight="true" outlineLevel="0" collapsed="false">
      <c r="A47" s="40"/>
      <c r="B47" s="54"/>
      <c r="C47" s="31" t="s">
        <v>36</v>
      </c>
      <c r="D47" s="36"/>
      <c r="E47" s="36"/>
      <c r="F47" s="37" t="n">
        <v>0</v>
      </c>
      <c r="G47" s="37" t="n">
        <v>0</v>
      </c>
      <c r="H47" s="37" t="n">
        <v>0</v>
      </c>
      <c r="I47" s="37" t="n">
        <v>0</v>
      </c>
      <c r="J47" s="37" t="n">
        <v>0</v>
      </c>
      <c r="K47" s="37" t="n">
        <v>0</v>
      </c>
      <c r="L47" s="37" t="n">
        <v>0</v>
      </c>
      <c r="M47" s="37" t="n">
        <f aca="false">L47*104/100</f>
        <v>0</v>
      </c>
      <c r="N47" s="37" t="n">
        <v>0</v>
      </c>
      <c r="O47" s="33" t="n">
        <v>0</v>
      </c>
      <c r="P47" s="33" t="n">
        <v>0</v>
      </c>
      <c r="Q47" s="33" t="n">
        <v>0</v>
      </c>
      <c r="R47" s="37" t="n">
        <v>0</v>
      </c>
      <c r="T47" s="49"/>
      <c r="U47" s="49"/>
      <c r="V47" s="49"/>
      <c r="W47" s="44"/>
    </row>
    <row r="48" s="42" customFormat="true" ht="36" hidden="false" customHeight="false" outlineLevel="0" collapsed="false">
      <c r="A48" s="40"/>
      <c r="B48" s="54"/>
      <c r="C48" s="31" t="s">
        <v>31</v>
      </c>
      <c r="D48" s="36"/>
      <c r="E48" s="36"/>
      <c r="F48" s="37" t="n">
        <v>0</v>
      </c>
      <c r="G48" s="37" t="n">
        <v>0</v>
      </c>
      <c r="H48" s="37" t="n">
        <v>0</v>
      </c>
      <c r="I48" s="37" t="n">
        <v>0</v>
      </c>
      <c r="J48" s="37" t="n">
        <v>0</v>
      </c>
      <c r="K48" s="37" t="n">
        <v>0</v>
      </c>
      <c r="L48" s="37" t="n">
        <v>0</v>
      </c>
      <c r="M48" s="37" t="n">
        <f aca="false">L48*104/100</f>
        <v>0</v>
      </c>
      <c r="N48" s="37" t="n">
        <v>0</v>
      </c>
      <c r="O48" s="33" t="n">
        <v>0</v>
      </c>
      <c r="P48" s="33" t="n">
        <v>0</v>
      </c>
      <c r="Q48" s="33" t="n">
        <v>0</v>
      </c>
      <c r="R48" s="37" t="n">
        <v>0</v>
      </c>
      <c r="T48" s="49"/>
      <c r="U48" s="49"/>
      <c r="V48" s="49"/>
      <c r="W48" s="44"/>
    </row>
    <row r="49" s="42" customFormat="true" ht="26.1" hidden="false" customHeight="true" outlineLevel="0" collapsed="false">
      <c r="A49" s="40"/>
      <c r="B49" s="54"/>
      <c r="C49" s="31" t="s">
        <v>32</v>
      </c>
      <c r="D49" s="36" t="s">
        <v>48</v>
      </c>
      <c r="E49" s="36" t="s">
        <v>43</v>
      </c>
      <c r="F49" s="37" t="n">
        <f aca="false">SUM(G49:M49)</f>
        <v>100</v>
      </c>
      <c r="G49" s="37" t="n">
        <f aca="false">1045-945</f>
        <v>100</v>
      </c>
      <c r="H49" s="37" t="n">
        <v>0</v>
      </c>
      <c r="I49" s="37" t="n">
        <v>0</v>
      </c>
      <c r="J49" s="37" t="n">
        <v>0</v>
      </c>
      <c r="K49" s="37" t="n">
        <v>0</v>
      </c>
      <c r="L49" s="37" t="n">
        <v>0</v>
      </c>
      <c r="M49" s="37" t="n">
        <f aca="false">L49*104/100</f>
        <v>0</v>
      </c>
      <c r="N49" s="37" t="n">
        <v>0</v>
      </c>
      <c r="O49" s="33" t="n">
        <v>0</v>
      </c>
      <c r="P49" s="33" t="n">
        <v>0</v>
      </c>
      <c r="Q49" s="33" t="n">
        <v>0</v>
      </c>
      <c r="R49" s="37" t="n">
        <v>0</v>
      </c>
      <c r="T49" s="49"/>
      <c r="U49" s="49"/>
      <c r="V49" s="49"/>
      <c r="W49" s="44"/>
    </row>
    <row r="50" s="42" customFormat="true" ht="24" hidden="false" customHeight="false" outlineLevel="0" collapsed="false">
      <c r="A50" s="40"/>
      <c r="B50" s="54"/>
      <c r="C50" s="31" t="s">
        <v>33</v>
      </c>
      <c r="D50" s="36"/>
      <c r="E50" s="36"/>
      <c r="F50" s="37" t="n">
        <v>0</v>
      </c>
      <c r="G50" s="37" t="n">
        <v>0</v>
      </c>
      <c r="H50" s="37" t="n">
        <v>0</v>
      </c>
      <c r="I50" s="37" t="n">
        <v>0</v>
      </c>
      <c r="J50" s="37" t="n">
        <v>0</v>
      </c>
      <c r="K50" s="37" t="n">
        <v>0</v>
      </c>
      <c r="L50" s="37" t="n">
        <v>0</v>
      </c>
      <c r="M50" s="37" t="n">
        <f aca="false">L50*104/100</f>
        <v>0</v>
      </c>
      <c r="N50" s="37" t="n">
        <v>0</v>
      </c>
      <c r="O50" s="33" t="n">
        <v>0</v>
      </c>
      <c r="P50" s="33" t="n">
        <v>0</v>
      </c>
      <c r="Q50" s="33" t="n">
        <v>0</v>
      </c>
      <c r="R50" s="37" t="n">
        <v>0</v>
      </c>
      <c r="T50" s="49"/>
      <c r="U50" s="49"/>
      <c r="V50" s="49"/>
      <c r="W50" s="44"/>
    </row>
    <row r="51" s="42" customFormat="true" ht="36" hidden="false" customHeight="false" outlineLevel="0" collapsed="false">
      <c r="A51" s="40"/>
      <c r="B51" s="54"/>
      <c r="C51" s="31" t="s">
        <v>34</v>
      </c>
      <c r="D51" s="36"/>
      <c r="E51" s="36"/>
      <c r="F51" s="37" t="n">
        <v>0</v>
      </c>
      <c r="G51" s="37" t="n">
        <v>0</v>
      </c>
      <c r="H51" s="37" t="n">
        <v>0</v>
      </c>
      <c r="I51" s="37" t="n">
        <v>0</v>
      </c>
      <c r="J51" s="37" t="n">
        <v>0</v>
      </c>
      <c r="K51" s="37" t="n">
        <v>0</v>
      </c>
      <c r="L51" s="37" t="n">
        <v>0</v>
      </c>
      <c r="M51" s="37" t="n">
        <f aca="false">L51*104/100</f>
        <v>0</v>
      </c>
      <c r="N51" s="37" t="n">
        <v>0</v>
      </c>
      <c r="O51" s="33" t="n">
        <v>0</v>
      </c>
      <c r="P51" s="33" t="n">
        <v>0</v>
      </c>
      <c r="Q51" s="33" t="n">
        <v>0</v>
      </c>
      <c r="R51" s="37" t="n">
        <v>0</v>
      </c>
      <c r="T51" s="49"/>
      <c r="U51" s="49"/>
      <c r="V51" s="49"/>
      <c r="W51" s="44"/>
    </row>
    <row r="52" s="42" customFormat="true" ht="26.1" hidden="false" customHeight="true" outlineLevel="0" collapsed="false">
      <c r="A52" s="40"/>
      <c r="B52" s="54"/>
      <c r="C52" s="31" t="s">
        <v>35</v>
      </c>
      <c r="D52" s="36"/>
      <c r="E52" s="36"/>
      <c r="F52" s="37" t="n">
        <v>0</v>
      </c>
      <c r="G52" s="37" t="n">
        <v>0</v>
      </c>
      <c r="H52" s="37" t="n">
        <v>0</v>
      </c>
      <c r="I52" s="37" t="n">
        <v>0</v>
      </c>
      <c r="J52" s="37" t="n">
        <v>0</v>
      </c>
      <c r="K52" s="37" t="n">
        <v>0</v>
      </c>
      <c r="L52" s="37" t="n">
        <v>0</v>
      </c>
      <c r="M52" s="37" t="n">
        <f aca="false">L52*104/100</f>
        <v>0</v>
      </c>
      <c r="N52" s="37" t="n">
        <v>0</v>
      </c>
      <c r="O52" s="33" t="n">
        <v>0</v>
      </c>
      <c r="P52" s="33" t="n">
        <v>0</v>
      </c>
      <c r="Q52" s="33" t="n">
        <v>0</v>
      </c>
      <c r="R52" s="37" t="n">
        <v>0</v>
      </c>
      <c r="T52" s="49"/>
      <c r="U52" s="49"/>
      <c r="V52" s="49"/>
      <c r="W52" s="44"/>
    </row>
    <row r="53" s="42" customFormat="true" ht="70.1" hidden="false" customHeight="true" outlineLevel="0" collapsed="false">
      <c r="A53" s="40"/>
      <c r="B53" s="54"/>
      <c r="C53" s="31" t="s">
        <v>36</v>
      </c>
      <c r="D53" s="36"/>
      <c r="E53" s="36"/>
      <c r="F53" s="37" t="n">
        <v>0</v>
      </c>
      <c r="G53" s="37" t="n">
        <v>0</v>
      </c>
      <c r="H53" s="37" t="n">
        <v>0</v>
      </c>
      <c r="I53" s="37" t="n">
        <v>0</v>
      </c>
      <c r="J53" s="37" t="n">
        <v>0</v>
      </c>
      <c r="K53" s="37" t="n">
        <v>0</v>
      </c>
      <c r="L53" s="37" t="n">
        <v>0</v>
      </c>
      <c r="M53" s="37" t="n">
        <f aca="false">L53*104/100</f>
        <v>0</v>
      </c>
      <c r="N53" s="37" t="n">
        <v>0</v>
      </c>
      <c r="O53" s="33" t="n">
        <v>0</v>
      </c>
      <c r="P53" s="33" t="n">
        <v>0</v>
      </c>
      <c r="Q53" s="33" t="n">
        <v>0</v>
      </c>
      <c r="R53" s="37" t="n">
        <v>0</v>
      </c>
      <c r="T53" s="49"/>
      <c r="U53" s="49"/>
      <c r="V53" s="49"/>
      <c r="W53" s="44"/>
    </row>
    <row r="54" s="42" customFormat="true" ht="36.75" hidden="false" customHeight="true" outlineLevel="0" collapsed="false">
      <c r="A54" s="40"/>
      <c r="B54" s="54"/>
      <c r="C54" s="31" t="s">
        <v>31</v>
      </c>
      <c r="D54" s="36"/>
      <c r="E54" s="36"/>
      <c r="F54" s="37" t="n">
        <v>0</v>
      </c>
      <c r="G54" s="37" t="n">
        <v>0</v>
      </c>
      <c r="H54" s="37" t="n">
        <v>0</v>
      </c>
      <c r="I54" s="37" t="n">
        <v>0</v>
      </c>
      <c r="J54" s="37" t="n">
        <v>0</v>
      </c>
      <c r="K54" s="37" t="n">
        <v>0</v>
      </c>
      <c r="L54" s="37" t="n">
        <v>0</v>
      </c>
      <c r="M54" s="37" t="n">
        <f aca="false">L54*104/100</f>
        <v>0</v>
      </c>
      <c r="N54" s="37" t="n">
        <v>0</v>
      </c>
      <c r="O54" s="33" t="n">
        <v>0</v>
      </c>
      <c r="P54" s="33" t="n">
        <v>0</v>
      </c>
      <c r="Q54" s="33" t="n">
        <v>0</v>
      </c>
      <c r="R54" s="37" t="n">
        <v>0</v>
      </c>
      <c r="T54" s="49"/>
      <c r="U54" s="49"/>
      <c r="V54" s="49"/>
      <c r="W54" s="44"/>
    </row>
    <row r="55" s="42" customFormat="true" ht="29.1" hidden="false" customHeight="true" outlineLevel="0" collapsed="false">
      <c r="A55" s="40"/>
      <c r="B55" s="54"/>
      <c r="C55" s="31" t="s">
        <v>32</v>
      </c>
      <c r="D55" s="36" t="s">
        <v>49</v>
      </c>
      <c r="E55" s="36" t="s">
        <v>43</v>
      </c>
      <c r="F55" s="37" t="n">
        <f aca="false">SUM(G55:R55)</f>
        <v>42749.01746</v>
      </c>
      <c r="G55" s="37" t="n">
        <f aca="false">5320+500+2250</f>
        <v>8070</v>
      </c>
      <c r="H55" s="37" t="n">
        <v>6700</v>
      </c>
      <c r="I55" s="37" t="n">
        <v>7700</v>
      </c>
      <c r="J55" s="37" t="n">
        <v>4851.5</v>
      </c>
      <c r="K55" s="37" t="n">
        <v>4850</v>
      </c>
      <c r="L55" s="37" t="n">
        <v>3750</v>
      </c>
      <c r="M55" s="37" t="n">
        <v>4700</v>
      </c>
      <c r="N55" s="37" t="n">
        <v>2127.51746</v>
      </c>
      <c r="O55" s="37" t="n">
        <v>0</v>
      </c>
      <c r="P55" s="37" t="n">
        <f aca="false">O55*1.04</f>
        <v>0</v>
      </c>
      <c r="Q55" s="37" t="n">
        <f aca="false">P55*1.04</f>
        <v>0</v>
      </c>
      <c r="R55" s="37" t="n">
        <f aca="false">Q55*1.04</f>
        <v>0</v>
      </c>
      <c r="T55" s="49"/>
      <c r="U55" s="49"/>
      <c r="V55" s="49"/>
      <c r="W55" s="44"/>
    </row>
    <row r="56" s="42" customFormat="true" ht="28.35" hidden="false" customHeight="true" outlineLevel="0" collapsed="false">
      <c r="A56" s="40"/>
      <c r="B56" s="54"/>
      <c r="C56" s="31" t="s">
        <v>33</v>
      </c>
      <c r="D56" s="36"/>
      <c r="E56" s="36"/>
      <c r="F56" s="37" t="n">
        <v>0</v>
      </c>
      <c r="G56" s="37" t="n">
        <v>0</v>
      </c>
      <c r="H56" s="37" t="n">
        <v>0</v>
      </c>
      <c r="I56" s="37" t="n">
        <v>0</v>
      </c>
      <c r="J56" s="37" t="n">
        <v>0</v>
      </c>
      <c r="K56" s="37" t="n">
        <v>0</v>
      </c>
      <c r="L56" s="37" t="n">
        <v>0</v>
      </c>
      <c r="M56" s="37" t="n">
        <f aca="false">L56*104/100</f>
        <v>0</v>
      </c>
      <c r="N56" s="37" t="n">
        <v>0</v>
      </c>
      <c r="O56" s="33" t="n">
        <v>0</v>
      </c>
      <c r="P56" s="33" t="n">
        <v>0</v>
      </c>
      <c r="Q56" s="33" t="n">
        <v>0</v>
      </c>
      <c r="R56" s="37" t="n">
        <v>0</v>
      </c>
      <c r="T56" s="49"/>
      <c r="U56" s="49"/>
      <c r="V56" s="49"/>
      <c r="W56" s="44"/>
    </row>
    <row r="57" s="42" customFormat="true" ht="36.55" hidden="false" customHeight="true" outlineLevel="0" collapsed="false">
      <c r="A57" s="40"/>
      <c r="B57" s="54"/>
      <c r="C57" s="31" t="s">
        <v>34</v>
      </c>
      <c r="D57" s="36"/>
      <c r="E57" s="36"/>
      <c r="F57" s="37" t="n">
        <v>0</v>
      </c>
      <c r="G57" s="37" t="n">
        <v>0</v>
      </c>
      <c r="H57" s="37" t="n">
        <v>0</v>
      </c>
      <c r="I57" s="37" t="n">
        <v>0</v>
      </c>
      <c r="J57" s="37" t="n">
        <v>0</v>
      </c>
      <c r="K57" s="37" t="n">
        <v>0</v>
      </c>
      <c r="L57" s="37" t="n">
        <v>0</v>
      </c>
      <c r="M57" s="37" t="n">
        <f aca="false">L57*104/100</f>
        <v>0</v>
      </c>
      <c r="N57" s="37" t="n">
        <v>0</v>
      </c>
      <c r="O57" s="33" t="n">
        <v>0</v>
      </c>
      <c r="P57" s="33" t="n">
        <v>0</v>
      </c>
      <c r="Q57" s="33" t="n">
        <v>0</v>
      </c>
      <c r="R57" s="37" t="n">
        <v>0</v>
      </c>
      <c r="T57" s="49"/>
      <c r="U57" s="49"/>
      <c r="V57" s="49"/>
      <c r="W57" s="44"/>
    </row>
    <row r="58" s="42" customFormat="true" ht="25.35" hidden="false" customHeight="true" outlineLevel="0" collapsed="false">
      <c r="A58" s="40"/>
      <c r="B58" s="54"/>
      <c r="C58" s="31" t="s">
        <v>35</v>
      </c>
      <c r="D58" s="36"/>
      <c r="E58" s="36"/>
      <c r="F58" s="37" t="n">
        <v>0</v>
      </c>
      <c r="G58" s="37" t="n">
        <v>0</v>
      </c>
      <c r="H58" s="37" t="n">
        <v>0</v>
      </c>
      <c r="I58" s="37" t="n">
        <v>0</v>
      </c>
      <c r="J58" s="37" t="n">
        <v>0</v>
      </c>
      <c r="K58" s="37" t="n">
        <v>0</v>
      </c>
      <c r="L58" s="37" t="n">
        <v>0</v>
      </c>
      <c r="M58" s="37" t="n">
        <f aca="false">L58*104/100</f>
        <v>0</v>
      </c>
      <c r="N58" s="37" t="n">
        <v>0</v>
      </c>
      <c r="O58" s="33" t="n">
        <v>0</v>
      </c>
      <c r="P58" s="33" t="n">
        <v>0</v>
      </c>
      <c r="Q58" s="33" t="n">
        <v>0</v>
      </c>
      <c r="R58" s="37" t="n">
        <v>0</v>
      </c>
      <c r="T58" s="49"/>
      <c r="U58" s="49"/>
      <c r="V58" s="49"/>
      <c r="W58" s="44"/>
    </row>
    <row r="59" s="42" customFormat="true" ht="70.1" hidden="false" customHeight="true" outlineLevel="0" collapsed="false">
      <c r="A59" s="40"/>
      <c r="B59" s="54"/>
      <c r="C59" s="31" t="s">
        <v>36</v>
      </c>
      <c r="D59" s="36"/>
      <c r="E59" s="36"/>
      <c r="F59" s="37" t="n">
        <v>0</v>
      </c>
      <c r="G59" s="37" t="n">
        <v>0</v>
      </c>
      <c r="H59" s="37" t="n">
        <v>0</v>
      </c>
      <c r="I59" s="37" t="n">
        <v>0</v>
      </c>
      <c r="J59" s="37" t="n">
        <v>0</v>
      </c>
      <c r="K59" s="37" t="n">
        <v>0</v>
      </c>
      <c r="L59" s="37" t="n">
        <v>0</v>
      </c>
      <c r="M59" s="37" t="n">
        <f aca="false">L59*104/100</f>
        <v>0</v>
      </c>
      <c r="N59" s="37" t="n">
        <v>0</v>
      </c>
      <c r="O59" s="33" t="n">
        <v>0</v>
      </c>
      <c r="P59" s="33" t="n">
        <v>0</v>
      </c>
      <c r="Q59" s="33" t="n">
        <v>0</v>
      </c>
      <c r="R59" s="37" t="n">
        <v>0</v>
      </c>
      <c r="T59" s="49"/>
      <c r="U59" s="49"/>
      <c r="V59" s="49"/>
      <c r="W59" s="44"/>
    </row>
    <row r="60" s="42" customFormat="true" ht="14.35" hidden="false" customHeight="true" outlineLevel="0" collapsed="false">
      <c r="A60" s="40" t="s">
        <v>50</v>
      </c>
      <c r="B60" s="54" t="s">
        <v>51</v>
      </c>
      <c r="C60" s="31" t="s">
        <v>30</v>
      </c>
      <c r="D60" s="36" t="s">
        <v>42</v>
      </c>
      <c r="E60" s="36" t="s">
        <v>43</v>
      </c>
      <c r="F60" s="37" t="n">
        <f aca="false">SUM(G60:R60)</f>
        <v>142828.97892</v>
      </c>
      <c r="G60" s="37" t="n">
        <f aca="false">SUM(G61:G66)</f>
        <v>4159.3534</v>
      </c>
      <c r="H60" s="37" t="n">
        <f aca="false">SUM(H61:H66)</f>
        <v>5990</v>
      </c>
      <c r="I60" s="37" t="n">
        <f aca="false">SUM(I61:I66)</f>
        <v>6815</v>
      </c>
      <c r="J60" s="37" t="n">
        <f aca="false">SUM(J61:J66)</f>
        <v>7239.94</v>
      </c>
      <c r="K60" s="37" t="n">
        <f aca="false">SUM(K61:K66)</f>
        <v>7958.5647</v>
      </c>
      <c r="L60" s="37" t="n">
        <f aca="false">SUM(L61:L66)</f>
        <v>11570.05505</v>
      </c>
      <c r="M60" s="37" t="n">
        <f aca="false">SUM(M61:M66)</f>
        <v>10108.27457</v>
      </c>
      <c r="N60" s="37" t="n">
        <f aca="false">SUM(N61:N66)</f>
        <v>11790.821</v>
      </c>
      <c r="O60" s="37" t="n">
        <f aca="false">SUM(O61:O66)</f>
        <v>11624.0802</v>
      </c>
      <c r="P60" s="37" t="n">
        <f aca="false">SUM(P61:P66)</f>
        <v>37794.43</v>
      </c>
      <c r="Q60" s="37" t="n">
        <f aca="false">SUM(Q61:Q66)</f>
        <v>13889.23</v>
      </c>
      <c r="R60" s="37" t="n">
        <f aca="false">SUM(R61:R66)</f>
        <v>13889.23</v>
      </c>
      <c r="T60" s="49"/>
      <c r="U60" s="49"/>
      <c r="V60" s="49"/>
      <c r="W60" s="44"/>
    </row>
    <row r="61" s="42" customFormat="true" ht="36" hidden="false" customHeight="false" outlineLevel="0" collapsed="false">
      <c r="A61" s="40"/>
      <c r="B61" s="54"/>
      <c r="C61" s="31" t="s">
        <v>31</v>
      </c>
      <c r="D61" s="36"/>
      <c r="E61" s="36"/>
      <c r="F61" s="37" t="n">
        <v>0</v>
      </c>
      <c r="G61" s="37" t="n">
        <v>0</v>
      </c>
      <c r="H61" s="37" t="n">
        <v>0</v>
      </c>
      <c r="I61" s="37" t="n">
        <v>0</v>
      </c>
      <c r="J61" s="37" t="n">
        <v>0</v>
      </c>
      <c r="K61" s="37" t="n">
        <v>0</v>
      </c>
      <c r="L61" s="37" t="n">
        <v>0</v>
      </c>
      <c r="M61" s="37" t="n">
        <f aca="false">L61*104/100</f>
        <v>0</v>
      </c>
      <c r="N61" s="37" t="n">
        <v>0</v>
      </c>
      <c r="O61" s="33" t="n">
        <v>0</v>
      </c>
      <c r="P61" s="33" t="n">
        <v>0</v>
      </c>
      <c r="Q61" s="33" t="n">
        <v>0</v>
      </c>
      <c r="R61" s="37" t="n">
        <v>0</v>
      </c>
      <c r="T61" s="49"/>
      <c r="U61" s="49"/>
      <c r="V61" s="49"/>
      <c r="W61" s="44"/>
    </row>
    <row r="62" s="42" customFormat="true" ht="26.1" hidden="false" customHeight="true" outlineLevel="0" collapsed="false">
      <c r="A62" s="40"/>
      <c r="B62" s="54"/>
      <c r="C62" s="31" t="s">
        <v>32</v>
      </c>
      <c r="D62" s="36"/>
      <c r="E62" s="36"/>
      <c r="F62" s="37" t="n">
        <f aca="false">SUM(G62:R62)</f>
        <v>142828.97892</v>
      </c>
      <c r="G62" s="37" t="n">
        <v>4159.3534</v>
      </c>
      <c r="H62" s="37" t="n">
        <v>5990</v>
      </c>
      <c r="I62" s="37" t="n">
        <v>6815</v>
      </c>
      <c r="J62" s="37" t="n">
        <v>7239.94</v>
      </c>
      <c r="K62" s="37" t="n">
        <v>7958.5647</v>
      </c>
      <c r="L62" s="37" t="n">
        <v>11570.05505</v>
      </c>
      <c r="M62" s="37" t="n">
        <v>10108.27457</v>
      </c>
      <c r="N62" s="37" t="n">
        <v>11790.821</v>
      </c>
      <c r="O62" s="37" t="n">
        <v>11624.0802</v>
      </c>
      <c r="P62" s="37" t="n">
        <v>37794.43</v>
      </c>
      <c r="Q62" s="37" t="n">
        <v>13889.23</v>
      </c>
      <c r="R62" s="37" t="n">
        <v>13889.23</v>
      </c>
      <c r="T62" s="49"/>
      <c r="U62" s="49"/>
      <c r="V62" s="49"/>
      <c r="W62" s="44"/>
    </row>
    <row r="63" s="42" customFormat="true" ht="26.1" hidden="false" customHeight="true" outlineLevel="0" collapsed="false">
      <c r="A63" s="40"/>
      <c r="B63" s="54"/>
      <c r="C63" s="31" t="s">
        <v>33</v>
      </c>
      <c r="D63" s="36"/>
      <c r="E63" s="36"/>
      <c r="F63" s="37" t="n">
        <v>0</v>
      </c>
      <c r="G63" s="37" t="n">
        <v>0</v>
      </c>
      <c r="H63" s="37" t="n">
        <v>0</v>
      </c>
      <c r="I63" s="37" t="n">
        <v>0</v>
      </c>
      <c r="J63" s="37" t="n">
        <v>0</v>
      </c>
      <c r="K63" s="37" t="n">
        <v>0</v>
      </c>
      <c r="L63" s="37" t="n">
        <v>0</v>
      </c>
      <c r="M63" s="37" t="n">
        <f aca="false">L63*104/100</f>
        <v>0</v>
      </c>
      <c r="N63" s="37" t="n">
        <v>0</v>
      </c>
      <c r="O63" s="33" t="n">
        <v>0</v>
      </c>
      <c r="P63" s="33" t="n">
        <v>0</v>
      </c>
      <c r="Q63" s="33" t="n">
        <v>0</v>
      </c>
      <c r="R63" s="37" t="n">
        <v>0</v>
      </c>
      <c r="T63" s="49"/>
      <c r="U63" s="49"/>
      <c r="V63" s="49"/>
      <c r="W63" s="44"/>
    </row>
    <row r="64" s="42" customFormat="true" ht="36" hidden="false" customHeight="false" outlineLevel="0" collapsed="false">
      <c r="A64" s="40"/>
      <c r="B64" s="54"/>
      <c r="C64" s="31" t="s">
        <v>34</v>
      </c>
      <c r="D64" s="36"/>
      <c r="E64" s="36"/>
      <c r="F64" s="37" t="n">
        <v>0</v>
      </c>
      <c r="G64" s="37" t="n">
        <v>0</v>
      </c>
      <c r="H64" s="37" t="n">
        <v>0</v>
      </c>
      <c r="I64" s="37" t="n">
        <v>0</v>
      </c>
      <c r="J64" s="37" t="n">
        <v>0</v>
      </c>
      <c r="K64" s="37" t="n">
        <v>0</v>
      </c>
      <c r="L64" s="37" t="n">
        <v>0</v>
      </c>
      <c r="M64" s="37" t="n">
        <f aca="false">L64*104/100</f>
        <v>0</v>
      </c>
      <c r="N64" s="37" t="n">
        <v>0</v>
      </c>
      <c r="O64" s="33" t="n">
        <v>0</v>
      </c>
      <c r="P64" s="33" t="n">
        <v>0</v>
      </c>
      <c r="Q64" s="33" t="n">
        <v>0</v>
      </c>
      <c r="R64" s="37" t="n">
        <v>0</v>
      </c>
      <c r="T64" s="49"/>
      <c r="U64" s="49"/>
      <c r="V64" s="49"/>
      <c r="W64" s="44"/>
    </row>
    <row r="65" s="42" customFormat="true" ht="26.85" hidden="false" customHeight="true" outlineLevel="0" collapsed="false">
      <c r="A65" s="40"/>
      <c r="B65" s="54"/>
      <c r="C65" s="31" t="s">
        <v>35</v>
      </c>
      <c r="D65" s="36"/>
      <c r="E65" s="36"/>
      <c r="F65" s="37" t="n">
        <v>0</v>
      </c>
      <c r="G65" s="37" t="n">
        <v>0</v>
      </c>
      <c r="H65" s="37" t="n">
        <v>0</v>
      </c>
      <c r="I65" s="37" t="n">
        <v>0</v>
      </c>
      <c r="J65" s="37" t="n">
        <v>0</v>
      </c>
      <c r="K65" s="37" t="n">
        <v>0</v>
      </c>
      <c r="L65" s="37" t="n">
        <v>0</v>
      </c>
      <c r="M65" s="37" t="n">
        <f aca="false">L65*104/100</f>
        <v>0</v>
      </c>
      <c r="N65" s="37" t="n">
        <v>0</v>
      </c>
      <c r="O65" s="33" t="n">
        <v>0</v>
      </c>
      <c r="P65" s="33" t="n">
        <v>0</v>
      </c>
      <c r="Q65" s="33" t="n">
        <v>0</v>
      </c>
      <c r="R65" s="37" t="n">
        <v>0</v>
      </c>
      <c r="T65" s="49"/>
      <c r="U65" s="49"/>
      <c r="V65" s="49"/>
      <c r="W65" s="44"/>
    </row>
    <row r="66" s="42" customFormat="true" ht="70.85" hidden="false" customHeight="true" outlineLevel="0" collapsed="false">
      <c r="A66" s="40"/>
      <c r="B66" s="54"/>
      <c r="C66" s="31" t="s">
        <v>36</v>
      </c>
      <c r="D66" s="36"/>
      <c r="E66" s="36"/>
      <c r="F66" s="37" t="n">
        <v>0</v>
      </c>
      <c r="G66" s="37" t="n">
        <v>0</v>
      </c>
      <c r="H66" s="37" t="n">
        <v>0</v>
      </c>
      <c r="I66" s="37" t="n">
        <v>0</v>
      </c>
      <c r="J66" s="37" t="n">
        <v>0</v>
      </c>
      <c r="K66" s="37" t="n">
        <v>0</v>
      </c>
      <c r="L66" s="37" t="n">
        <v>0</v>
      </c>
      <c r="M66" s="37" t="n">
        <f aca="false">L66*104/100</f>
        <v>0</v>
      </c>
      <c r="N66" s="37" t="n">
        <v>0</v>
      </c>
      <c r="O66" s="33" t="n">
        <v>0</v>
      </c>
      <c r="P66" s="33" t="n">
        <v>0</v>
      </c>
      <c r="Q66" s="33" t="n">
        <v>0</v>
      </c>
      <c r="R66" s="37" t="n">
        <v>0</v>
      </c>
      <c r="T66" s="49"/>
      <c r="U66" s="49"/>
      <c r="V66" s="49"/>
      <c r="W66" s="44"/>
    </row>
    <row r="67" s="42" customFormat="true" ht="18.65" hidden="false" customHeight="true" outlineLevel="0" collapsed="false">
      <c r="A67" s="40" t="s">
        <v>52</v>
      </c>
      <c r="B67" s="54" t="s">
        <v>53</v>
      </c>
      <c r="C67" s="31" t="s">
        <v>30</v>
      </c>
      <c r="D67" s="36" t="s">
        <v>42</v>
      </c>
      <c r="E67" s="36" t="s">
        <v>43</v>
      </c>
      <c r="F67" s="37" t="n">
        <f aca="false">SUM(G67:R67)</f>
        <v>2990602.90525</v>
      </c>
      <c r="G67" s="37" t="n">
        <f aca="false">SUM(G68:G73)</f>
        <v>66309.18611</v>
      </c>
      <c r="H67" s="37" t="n">
        <f aca="false">SUM(H68:H73)</f>
        <v>66149.44292</v>
      </c>
      <c r="I67" s="37" t="n">
        <f aca="false">SUM(I68:I73)</f>
        <v>71949.0769</v>
      </c>
      <c r="J67" s="37" t="n">
        <f aca="false">SUM(J68:J73)</f>
        <v>72109.24239</v>
      </c>
      <c r="K67" s="37" t="n">
        <f aca="false">SUM(K68:K73)</f>
        <v>75542.26863</v>
      </c>
      <c r="L67" s="37" t="n">
        <f aca="false">SUM(L68:L73)</f>
        <v>74252.24748</v>
      </c>
      <c r="M67" s="37" t="n">
        <f aca="false">SUM(M68:M73)</f>
        <v>221388.52753</v>
      </c>
      <c r="N67" s="37" t="n">
        <f aca="false">SUM(N68:N73)</f>
        <v>476614.99798</v>
      </c>
      <c r="O67" s="37" t="n">
        <f aca="false">SUM(O68:O73)</f>
        <v>465617.30531</v>
      </c>
      <c r="P67" s="37" t="n">
        <f aca="false">SUM(P68:P73)</f>
        <v>466639.07</v>
      </c>
      <c r="Q67" s="37" t="n">
        <f aca="false">SUM(Q68:Q73)</f>
        <v>467015.77</v>
      </c>
      <c r="R67" s="37" t="n">
        <f aca="false">SUM(R68:R73)</f>
        <v>467015.77</v>
      </c>
      <c r="T67" s="11" t="n">
        <f aca="false">466639.07-P67</f>
        <v>0</v>
      </c>
      <c r="U67" s="49"/>
      <c r="V67" s="49"/>
      <c r="W67" s="44"/>
    </row>
    <row r="68" s="42" customFormat="true" ht="37.3" hidden="false" customHeight="true" outlineLevel="0" collapsed="false">
      <c r="A68" s="40"/>
      <c r="B68" s="54"/>
      <c r="C68" s="31" t="s">
        <v>31</v>
      </c>
      <c r="D68" s="36"/>
      <c r="E68" s="36"/>
      <c r="F68" s="37" t="n">
        <f aca="false">SUM(G68:R68)</f>
        <v>2103765.3</v>
      </c>
      <c r="G68" s="37" t="n">
        <f aca="false">400+522.5</f>
        <v>922.5</v>
      </c>
      <c r="H68" s="37" t="n">
        <v>400</v>
      </c>
      <c r="I68" s="37" t="n">
        <v>400</v>
      </c>
      <c r="J68" s="37" t="n">
        <v>0</v>
      </c>
      <c r="K68" s="37" t="n">
        <v>0</v>
      </c>
      <c r="L68" s="37" t="n">
        <v>0</v>
      </c>
      <c r="M68" s="37" t="n">
        <v>146735.8</v>
      </c>
      <c r="N68" s="37" t="n">
        <v>396007.8</v>
      </c>
      <c r="O68" s="37" t="n">
        <v>386083.7</v>
      </c>
      <c r="P68" s="33" t="n">
        <v>390820.7</v>
      </c>
      <c r="Q68" s="33" t="n">
        <v>391197.4</v>
      </c>
      <c r="R68" s="37" t="n">
        <v>391197.4</v>
      </c>
      <c r="T68" s="49"/>
      <c r="U68" s="49"/>
      <c r="V68" s="49"/>
      <c r="W68" s="44"/>
    </row>
    <row r="69" s="42" customFormat="true" ht="25.35" hidden="false" customHeight="true" outlineLevel="0" collapsed="false">
      <c r="A69" s="40"/>
      <c r="B69" s="54"/>
      <c r="C69" s="31" t="s">
        <v>32</v>
      </c>
      <c r="D69" s="36"/>
      <c r="E69" s="36"/>
      <c r="F69" s="37" t="n">
        <f aca="false">SUM(G69:R69)</f>
        <v>886837.60525</v>
      </c>
      <c r="G69" s="37" t="n">
        <v>65386.68611</v>
      </c>
      <c r="H69" s="37" t="n">
        <v>65749.44292</v>
      </c>
      <c r="I69" s="37" t="n">
        <f aca="false">71949.0769-I68</f>
        <v>71549.0769</v>
      </c>
      <c r="J69" s="37" t="n">
        <v>72109.24239</v>
      </c>
      <c r="K69" s="37" t="n">
        <v>75542.26863</v>
      </c>
      <c r="L69" s="37" t="n">
        <v>74252.24748</v>
      </c>
      <c r="M69" s="37" t="n">
        <v>74652.72753</v>
      </c>
      <c r="N69" s="37" t="n">
        <v>80607.19798</v>
      </c>
      <c r="O69" s="37" t="n">
        <v>79533.60531</v>
      </c>
      <c r="P69" s="37" t="n">
        <v>75818.37</v>
      </c>
      <c r="Q69" s="37" t="n">
        <v>75818.37</v>
      </c>
      <c r="R69" s="37" t="n">
        <v>75818.37</v>
      </c>
      <c r="T69" s="49"/>
      <c r="U69" s="49"/>
      <c r="V69" s="49"/>
      <c r="W69" s="44"/>
    </row>
    <row r="70" s="42" customFormat="true" ht="24.6" hidden="false" customHeight="true" outlineLevel="0" collapsed="false">
      <c r="A70" s="40"/>
      <c r="B70" s="54"/>
      <c r="C70" s="31" t="s">
        <v>33</v>
      </c>
      <c r="D70" s="36"/>
      <c r="E70" s="36"/>
      <c r="F70" s="37" t="n">
        <v>0</v>
      </c>
      <c r="G70" s="37" t="n">
        <v>0</v>
      </c>
      <c r="H70" s="37" t="n">
        <v>0</v>
      </c>
      <c r="I70" s="37" t="n">
        <v>0</v>
      </c>
      <c r="J70" s="37" t="n">
        <v>0</v>
      </c>
      <c r="K70" s="37" t="n">
        <v>0</v>
      </c>
      <c r="L70" s="37" t="n">
        <v>0</v>
      </c>
      <c r="M70" s="37" t="n">
        <f aca="false">L70*104/100</f>
        <v>0</v>
      </c>
      <c r="N70" s="37" t="n">
        <v>0</v>
      </c>
      <c r="O70" s="33" t="n">
        <v>0</v>
      </c>
      <c r="P70" s="33" t="n">
        <v>0</v>
      </c>
      <c r="Q70" s="33" t="n">
        <v>0</v>
      </c>
      <c r="R70" s="37" t="n">
        <v>0</v>
      </c>
      <c r="T70" s="49"/>
      <c r="U70" s="49"/>
      <c r="V70" s="49"/>
      <c r="W70" s="44"/>
    </row>
    <row r="71" s="42" customFormat="true" ht="38.8" hidden="false" customHeight="true" outlineLevel="0" collapsed="false">
      <c r="A71" s="56"/>
      <c r="B71" s="57"/>
      <c r="C71" s="31" t="s">
        <v>34</v>
      </c>
      <c r="D71" s="36"/>
      <c r="E71" s="36"/>
      <c r="F71" s="37" t="n">
        <v>0</v>
      </c>
      <c r="G71" s="37" t="n">
        <v>0</v>
      </c>
      <c r="H71" s="37" t="n">
        <v>0</v>
      </c>
      <c r="I71" s="37" t="n">
        <v>0</v>
      </c>
      <c r="J71" s="37" t="n">
        <v>0</v>
      </c>
      <c r="K71" s="37" t="n">
        <v>0</v>
      </c>
      <c r="L71" s="37" t="n">
        <v>0</v>
      </c>
      <c r="M71" s="37" t="n">
        <f aca="false">L71*104/100</f>
        <v>0</v>
      </c>
      <c r="N71" s="37" t="n">
        <v>0</v>
      </c>
      <c r="O71" s="33" t="n">
        <v>0</v>
      </c>
      <c r="P71" s="33" t="n">
        <v>0</v>
      </c>
      <c r="Q71" s="33" t="n">
        <v>0</v>
      </c>
      <c r="R71" s="37" t="n">
        <v>0</v>
      </c>
      <c r="T71" s="49"/>
      <c r="U71" s="49"/>
      <c r="V71" s="49"/>
      <c r="W71" s="44"/>
    </row>
    <row r="72" s="42" customFormat="true" ht="24.85" hidden="false" customHeight="false" outlineLevel="0" collapsed="false">
      <c r="A72" s="58"/>
      <c r="B72" s="59"/>
      <c r="C72" s="31" t="s">
        <v>35</v>
      </c>
      <c r="D72" s="36"/>
      <c r="E72" s="36"/>
      <c r="F72" s="37" t="n">
        <v>0</v>
      </c>
      <c r="G72" s="37" t="n">
        <v>0</v>
      </c>
      <c r="H72" s="37" t="n">
        <v>0</v>
      </c>
      <c r="I72" s="37" t="n">
        <v>0</v>
      </c>
      <c r="J72" s="37" t="n">
        <v>0</v>
      </c>
      <c r="K72" s="37" t="n">
        <v>0</v>
      </c>
      <c r="L72" s="37" t="n">
        <v>0</v>
      </c>
      <c r="M72" s="37" t="n">
        <f aca="false">L72*104/100</f>
        <v>0</v>
      </c>
      <c r="N72" s="37" t="n">
        <v>0</v>
      </c>
      <c r="O72" s="33" t="n">
        <v>0</v>
      </c>
      <c r="P72" s="33" t="n">
        <v>0</v>
      </c>
      <c r="Q72" s="33" t="n">
        <v>0</v>
      </c>
      <c r="R72" s="37" t="n">
        <v>0</v>
      </c>
      <c r="T72" s="49"/>
      <c r="U72" s="49"/>
      <c r="V72" s="49"/>
      <c r="W72" s="44"/>
    </row>
    <row r="73" s="42" customFormat="true" ht="76.5" hidden="false" customHeight="true" outlineLevel="0" collapsed="false">
      <c r="A73" s="60"/>
      <c r="B73" s="61"/>
      <c r="C73" s="31" t="s">
        <v>36</v>
      </c>
      <c r="D73" s="36"/>
      <c r="E73" s="36"/>
      <c r="F73" s="37" t="n">
        <v>0</v>
      </c>
      <c r="G73" s="37" t="n">
        <v>0</v>
      </c>
      <c r="H73" s="37" t="n">
        <v>0</v>
      </c>
      <c r="I73" s="37" t="n">
        <v>0</v>
      </c>
      <c r="J73" s="37" t="n">
        <v>0</v>
      </c>
      <c r="K73" s="37" t="n">
        <v>0</v>
      </c>
      <c r="L73" s="37" t="n">
        <v>0</v>
      </c>
      <c r="M73" s="37" t="n">
        <f aca="false">L73*104/100</f>
        <v>0</v>
      </c>
      <c r="N73" s="37" t="n">
        <v>0</v>
      </c>
      <c r="O73" s="33" t="n">
        <v>0</v>
      </c>
      <c r="P73" s="33" t="n">
        <v>0</v>
      </c>
      <c r="Q73" s="33" t="n">
        <v>0</v>
      </c>
      <c r="R73" s="37" t="n">
        <v>0</v>
      </c>
      <c r="T73" s="49"/>
      <c r="U73" s="49"/>
      <c r="V73" s="49"/>
      <c r="W73" s="44"/>
    </row>
    <row r="74" s="42" customFormat="true" ht="18.65" hidden="false" customHeight="true" outlineLevel="0" collapsed="false">
      <c r="A74" s="40" t="s">
        <v>54</v>
      </c>
      <c r="B74" s="54" t="s">
        <v>55</v>
      </c>
      <c r="C74" s="31" t="s">
        <v>30</v>
      </c>
      <c r="D74" s="36" t="s">
        <v>42</v>
      </c>
      <c r="E74" s="36" t="s">
        <v>43</v>
      </c>
      <c r="F74" s="37" t="n">
        <f aca="false">SUM(G74:R74)</f>
        <v>6475990.5641412</v>
      </c>
      <c r="G74" s="37" t="n">
        <f aca="false">SUM(G75:G80)</f>
        <v>227582.43091</v>
      </c>
      <c r="H74" s="37" t="n">
        <f aca="false">SUM(H75:H80)</f>
        <v>221138.41193</v>
      </c>
      <c r="I74" s="37" t="n">
        <f aca="false">SUM(I75:I80)</f>
        <v>300399.43373</v>
      </c>
      <c r="J74" s="37" t="n">
        <f aca="false">SUM(J75:J80)</f>
        <v>277336.243</v>
      </c>
      <c r="K74" s="37" t="n">
        <f aca="false">SUM(K75:K80)</f>
        <v>393702.74849</v>
      </c>
      <c r="L74" s="37" t="n">
        <f aca="false">SUM(L75:L80)</f>
        <v>405501.63297</v>
      </c>
      <c r="M74" s="37" t="n">
        <f aca="false">SUM(M75:M80)</f>
        <v>529829.4652912</v>
      </c>
      <c r="N74" s="37" t="n">
        <f aca="false">SUM(N75:N80)</f>
        <v>706351.01061</v>
      </c>
      <c r="O74" s="37" t="n">
        <f aca="false">SUM(O75:O80)</f>
        <v>634783.94672</v>
      </c>
      <c r="P74" s="37" t="n">
        <f aca="false">SUM(P75:P80)</f>
        <v>793187.74681</v>
      </c>
      <c r="Q74" s="37" t="n">
        <f aca="false">SUM(Q75:Q80)</f>
        <v>990651.77261</v>
      </c>
      <c r="R74" s="37" t="n">
        <f aca="false">SUM(R75:R80)</f>
        <v>995525.72107</v>
      </c>
      <c r="T74" s="49"/>
      <c r="U74" s="49"/>
      <c r="V74" s="49"/>
      <c r="W74" s="44"/>
    </row>
    <row r="75" s="42" customFormat="true" ht="41.75" hidden="false" customHeight="true" outlineLevel="0" collapsed="false">
      <c r="A75" s="40"/>
      <c r="B75" s="54"/>
      <c r="C75" s="31" t="s">
        <v>31</v>
      </c>
      <c r="D75" s="36"/>
      <c r="E75" s="36"/>
      <c r="F75" s="37" t="n">
        <f aca="false">SUM(G75:R75)</f>
        <v>1509351.426</v>
      </c>
      <c r="G75" s="37" t="n">
        <v>0</v>
      </c>
      <c r="H75" s="37" t="n">
        <v>0</v>
      </c>
      <c r="I75" s="37" t="n">
        <v>19739.2</v>
      </c>
      <c r="J75" s="37" t="n">
        <v>15273.2</v>
      </c>
      <c r="K75" s="37" t="n">
        <v>24983</v>
      </c>
      <c r="L75" s="37" t="n">
        <v>0</v>
      </c>
      <c r="M75" s="37" t="n">
        <v>96098.1</v>
      </c>
      <c r="N75" s="37" t="n">
        <v>276851.7</v>
      </c>
      <c r="O75" s="37" t="n">
        <v>219278.026</v>
      </c>
      <c r="P75" s="37" t="n">
        <v>284324.3</v>
      </c>
      <c r="Q75" s="37" t="n">
        <v>284324.3</v>
      </c>
      <c r="R75" s="37" t="n">
        <v>288479.6</v>
      </c>
      <c r="T75" s="49"/>
      <c r="U75" s="49"/>
      <c r="V75" s="49"/>
      <c r="W75" s="44"/>
    </row>
    <row r="76" s="42" customFormat="true" ht="27.6" hidden="false" customHeight="true" outlineLevel="0" collapsed="false">
      <c r="A76" s="40"/>
      <c r="B76" s="54"/>
      <c r="C76" s="31" t="s">
        <v>32</v>
      </c>
      <c r="D76" s="36"/>
      <c r="E76" s="36"/>
      <c r="F76" s="37" t="n">
        <f aca="false">SUM(G76:R76)</f>
        <v>4823330.99477</v>
      </c>
      <c r="G76" s="37" t="n">
        <v>219147.07091</v>
      </c>
      <c r="H76" s="37" t="n">
        <v>207923.20511</v>
      </c>
      <c r="I76" s="37" t="n">
        <v>268514.9871</v>
      </c>
      <c r="J76" s="37" t="n">
        <v>262063.043</v>
      </c>
      <c r="K76" s="37" t="n">
        <v>368719.74849</v>
      </c>
      <c r="L76" s="37" t="n">
        <v>380348.76119</v>
      </c>
      <c r="M76" s="37" t="n">
        <v>407572.37864</v>
      </c>
      <c r="N76" s="37" t="n">
        <v>392506.06973</v>
      </c>
      <c r="O76" s="37" t="n">
        <v>394298.69011</v>
      </c>
      <c r="P76" s="37" t="n">
        <v>508863.44681</v>
      </c>
      <c r="Q76" s="37" t="n">
        <v>706327.47261</v>
      </c>
      <c r="R76" s="37" t="n">
        <v>707046.12107</v>
      </c>
      <c r="S76" s="42" t="n">
        <f aca="false">(N76+N75)/99</f>
        <v>6761.18959323232</v>
      </c>
      <c r="T76" s="49"/>
      <c r="U76" s="49"/>
      <c r="V76" s="49"/>
      <c r="W76" s="44"/>
    </row>
    <row r="77" s="42" customFormat="true" ht="26.1" hidden="false" customHeight="true" outlineLevel="0" collapsed="false">
      <c r="A77" s="40"/>
      <c r="B77" s="54"/>
      <c r="C77" s="31" t="s">
        <v>33</v>
      </c>
      <c r="D77" s="36"/>
      <c r="E77" s="36"/>
      <c r="F77" s="37" t="n">
        <f aca="false">SUM(G77:R77)</f>
        <v>143308.1433712</v>
      </c>
      <c r="G77" s="37" t="n">
        <v>8435.36</v>
      </c>
      <c r="H77" s="37" t="n">
        <v>13215.20682</v>
      </c>
      <c r="I77" s="37" t="n">
        <v>12145.24663</v>
      </c>
      <c r="J77" s="37" t="n">
        <v>0</v>
      </c>
      <c r="K77" s="37" t="n">
        <v>0</v>
      </c>
      <c r="L77" s="37" t="n">
        <v>25152.87178</v>
      </c>
      <c r="M77" s="37" t="n">
        <f aca="false">L77*104/100</f>
        <v>26158.9866512</v>
      </c>
      <c r="N77" s="37" t="n">
        <v>36993.24088</v>
      </c>
      <c r="O77" s="33" t="n">
        <v>21207.23061</v>
      </c>
      <c r="P77" s="33" t="n">
        <v>0</v>
      </c>
      <c r="Q77" s="33" t="n">
        <v>0</v>
      </c>
      <c r="R77" s="37" t="n">
        <v>0</v>
      </c>
      <c r="T77" s="49"/>
      <c r="U77" s="49"/>
      <c r="V77" s="49"/>
      <c r="W77" s="44"/>
    </row>
    <row r="78" s="42" customFormat="true" ht="35.05" hidden="false" customHeight="true" outlineLevel="0" collapsed="false">
      <c r="A78" s="40"/>
      <c r="B78" s="54"/>
      <c r="C78" s="31" t="s">
        <v>34</v>
      </c>
      <c r="D78" s="36"/>
      <c r="E78" s="36"/>
      <c r="F78" s="37" t="n">
        <v>0</v>
      </c>
      <c r="G78" s="37" t="n">
        <v>0</v>
      </c>
      <c r="H78" s="37" t="n">
        <v>0</v>
      </c>
      <c r="I78" s="37" t="n">
        <v>0</v>
      </c>
      <c r="J78" s="37" t="n">
        <v>0</v>
      </c>
      <c r="K78" s="37" t="n">
        <v>0</v>
      </c>
      <c r="L78" s="37" t="n">
        <v>0</v>
      </c>
      <c r="M78" s="37" t="n">
        <f aca="false">L78*104/100</f>
        <v>0</v>
      </c>
      <c r="N78" s="37" t="n">
        <v>0</v>
      </c>
      <c r="O78" s="33" t="n">
        <v>0</v>
      </c>
      <c r="P78" s="33" t="n">
        <v>0</v>
      </c>
      <c r="Q78" s="33" t="n">
        <v>0</v>
      </c>
      <c r="R78" s="37" t="n">
        <v>0</v>
      </c>
      <c r="T78" s="49"/>
      <c r="U78" s="49"/>
      <c r="V78" s="49"/>
      <c r="W78" s="44"/>
    </row>
    <row r="79" s="42" customFormat="true" ht="26.1" hidden="false" customHeight="true" outlineLevel="0" collapsed="false">
      <c r="A79" s="40"/>
      <c r="B79" s="54"/>
      <c r="C79" s="31" t="s">
        <v>35</v>
      </c>
      <c r="D79" s="36"/>
      <c r="E79" s="36"/>
      <c r="F79" s="37" t="n">
        <v>0</v>
      </c>
      <c r="G79" s="37" t="n">
        <v>0</v>
      </c>
      <c r="H79" s="37" t="n">
        <v>0</v>
      </c>
      <c r="I79" s="37" t="n">
        <v>0</v>
      </c>
      <c r="J79" s="37" t="n">
        <v>0</v>
      </c>
      <c r="K79" s="37" t="n">
        <v>0</v>
      </c>
      <c r="L79" s="37" t="n">
        <v>0</v>
      </c>
      <c r="M79" s="37" t="n">
        <f aca="false">L79*104/100</f>
        <v>0</v>
      </c>
      <c r="N79" s="37" t="n">
        <v>0</v>
      </c>
      <c r="O79" s="33" t="n">
        <v>0</v>
      </c>
      <c r="P79" s="33" t="n">
        <v>0</v>
      </c>
      <c r="Q79" s="33" t="n">
        <v>0</v>
      </c>
      <c r="R79" s="37" t="n">
        <v>0</v>
      </c>
      <c r="T79" s="49"/>
      <c r="U79" s="49"/>
      <c r="V79" s="49"/>
      <c r="W79" s="44"/>
    </row>
    <row r="80" s="42" customFormat="true" ht="74.25" hidden="false" customHeight="true" outlineLevel="0" collapsed="false">
      <c r="A80" s="40"/>
      <c r="B80" s="54"/>
      <c r="C80" s="31" t="s">
        <v>36</v>
      </c>
      <c r="D80" s="36"/>
      <c r="E80" s="36"/>
      <c r="F80" s="37" t="n">
        <v>0</v>
      </c>
      <c r="G80" s="37" t="n">
        <v>0</v>
      </c>
      <c r="H80" s="37" t="n">
        <v>0</v>
      </c>
      <c r="I80" s="37" t="n">
        <v>0</v>
      </c>
      <c r="J80" s="37" t="n">
        <v>0</v>
      </c>
      <c r="K80" s="37" t="n">
        <v>0</v>
      </c>
      <c r="L80" s="37" t="n">
        <v>0</v>
      </c>
      <c r="M80" s="37" t="n">
        <f aca="false">L80*104/100</f>
        <v>0</v>
      </c>
      <c r="N80" s="37" t="n">
        <v>0</v>
      </c>
      <c r="O80" s="33" t="n">
        <v>0</v>
      </c>
      <c r="P80" s="33" t="n">
        <v>0</v>
      </c>
      <c r="Q80" s="33" t="n">
        <v>0</v>
      </c>
      <c r="R80" s="37" t="n">
        <v>0</v>
      </c>
      <c r="T80" s="49"/>
      <c r="U80" s="49"/>
      <c r="V80" s="49"/>
      <c r="W80" s="44"/>
    </row>
    <row r="81" s="42" customFormat="true" ht="22.35" hidden="false" customHeight="true" outlineLevel="0" collapsed="false">
      <c r="A81" s="40" t="s">
        <v>56</v>
      </c>
      <c r="B81" s="54" t="s">
        <v>57</v>
      </c>
      <c r="C81" s="31" t="s">
        <v>30</v>
      </c>
      <c r="D81" s="36"/>
      <c r="E81" s="36"/>
      <c r="F81" s="37" t="n">
        <f aca="false">SUM(G81:R81)</f>
        <v>5507354.15928</v>
      </c>
      <c r="G81" s="37" t="n">
        <f aca="false">SUM(G82:G88)</f>
        <v>486032.33425</v>
      </c>
      <c r="H81" s="37" t="n">
        <f aca="false">SUM(H82:H88)</f>
        <v>722902.69958</v>
      </c>
      <c r="I81" s="37" t="n">
        <f aca="false">SUM(I82:I88)</f>
        <v>1025993.4071</v>
      </c>
      <c r="J81" s="37" t="n">
        <f aca="false">SUM(J82:J88)</f>
        <v>500916.75202</v>
      </c>
      <c r="K81" s="37" t="n">
        <f aca="false">SUM(K82:K88)</f>
        <v>1189123.81181</v>
      </c>
      <c r="L81" s="37" t="n">
        <f aca="false">SUM(L82:L88)</f>
        <v>420479.2575</v>
      </c>
      <c r="M81" s="37" t="n">
        <f aca="false">SUM(M82:M88)</f>
        <v>197420.53711</v>
      </c>
      <c r="N81" s="37" t="n">
        <f aca="false">SUM(N82:N88)</f>
        <v>143278.27563</v>
      </c>
      <c r="O81" s="37" t="n">
        <f aca="false">SUM(O82:O88)</f>
        <v>343026.82684</v>
      </c>
      <c r="P81" s="37" t="n">
        <f aca="false">SUM(P82:P88)</f>
        <v>478180.25744</v>
      </c>
      <c r="Q81" s="37" t="n">
        <f aca="false">SUM(Q82:Q88)</f>
        <v>0</v>
      </c>
      <c r="R81" s="37" t="n">
        <f aca="false">SUM(R82:R88)</f>
        <v>0</v>
      </c>
      <c r="T81" s="49"/>
      <c r="U81" s="49"/>
      <c r="V81" s="49"/>
      <c r="W81" s="44"/>
    </row>
    <row r="82" s="42" customFormat="true" ht="39.55" hidden="false" customHeight="true" outlineLevel="0" collapsed="false">
      <c r="A82" s="40"/>
      <c r="B82" s="54"/>
      <c r="C82" s="31" t="s">
        <v>31</v>
      </c>
      <c r="D82" s="36" t="s">
        <v>58</v>
      </c>
      <c r="E82" s="36" t="s">
        <v>43</v>
      </c>
      <c r="F82" s="37" t="n">
        <f aca="false">SUM(G82:R82)</f>
        <v>599513.73454</v>
      </c>
      <c r="G82" s="37" t="n">
        <f aca="false">211462.82619</f>
        <v>211462.82619</v>
      </c>
      <c r="H82" s="37" t="n">
        <v>38620.2</v>
      </c>
      <c r="I82" s="37" t="n">
        <f aca="false">251649.0614+19500.7386</f>
        <v>271149.8</v>
      </c>
      <c r="J82" s="37" t="n">
        <v>0</v>
      </c>
      <c r="K82" s="37" t="n">
        <v>78280.90835</v>
      </c>
      <c r="L82" s="37" t="n">
        <v>0</v>
      </c>
      <c r="M82" s="37" t="n">
        <f aca="false">L82*104/100</f>
        <v>0</v>
      </c>
      <c r="N82" s="37" t="n">
        <v>0</v>
      </c>
      <c r="O82" s="33" t="n">
        <v>0</v>
      </c>
      <c r="P82" s="33" t="n">
        <v>0</v>
      </c>
      <c r="Q82" s="33" t="n">
        <v>0</v>
      </c>
      <c r="R82" s="37" t="n">
        <v>0</v>
      </c>
      <c r="T82" s="49"/>
      <c r="U82" s="49"/>
      <c r="V82" s="49"/>
      <c r="W82" s="44"/>
    </row>
    <row r="83" s="42" customFormat="true" ht="28.35" hidden="false" customHeight="true" outlineLevel="0" collapsed="false">
      <c r="A83" s="40"/>
      <c r="B83" s="54"/>
      <c r="C83" s="31" t="s">
        <v>32</v>
      </c>
      <c r="D83" s="36" t="s">
        <v>58</v>
      </c>
      <c r="E83" s="36" t="s">
        <v>43</v>
      </c>
      <c r="F83" s="37" t="n">
        <f aca="false">SUM(G83:R83)</f>
        <v>2478097.27238</v>
      </c>
      <c r="G83" s="37" t="n">
        <v>81412.3268</v>
      </c>
      <c r="H83" s="37" t="n">
        <v>479512.83176</v>
      </c>
      <c r="I83" s="37" t="n">
        <v>309024.37581</v>
      </c>
      <c r="J83" s="37" t="n">
        <v>334796.17849</v>
      </c>
      <c r="K83" s="37" t="n">
        <v>814380.69988</v>
      </c>
      <c r="L83" s="37" t="n">
        <v>297726.92185</v>
      </c>
      <c r="M83" s="37" t="n">
        <v>126397.39037</v>
      </c>
      <c r="N83" s="37" t="n">
        <v>34846.54742</v>
      </c>
      <c r="O83" s="37" t="n">
        <v>0</v>
      </c>
      <c r="P83" s="37" t="n">
        <v>0</v>
      </c>
      <c r="Q83" s="37" t="n">
        <v>0</v>
      </c>
      <c r="R83" s="37" t="n">
        <v>0</v>
      </c>
      <c r="T83" s="49"/>
      <c r="U83" s="49"/>
      <c r="V83" s="49"/>
      <c r="W83" s="44"/>
    </row>
    <row r="84" s="42" customFormat="true" ht="26.85" hidden="false" customHeight="true" outlineLevel="0" collapsed="false">
      <c r="A84" s="40"/>
      <c r="B84" s="54"/>
      <c r="C84" s="31" t="s">
        <v>33</v>
      </c>
      <c r="D84" s="36" t="s">
        <v>58</v>
      </c>
      <c r="E84" s="36" t="s">
        <v>43</v>
      </c>
      <c r="F84" s="37" t="n">
        <f aca="false">SUM(G84:R84)</f>
        <v>6335.52917</v>
      </c>
      <c r="G84" s="37" t="n">
        <v>762.69785</v>
      </c>
      <c r="H84" s="37" t="n">
        <v>1017.64254</v>
      </c>
      <c r="I84" s="37" t="n">
        <v>1525.53572</v>
      </c>
      <c r="J84" s="37" t="n">
        <v>206.09879</v>
      </c>
      <c r="K84" s="37" t="n">
        <v>2675.28693</v>
      </c>
      <c r="L84" s="37" t="n">
        <v>0</v>
      </c>
      <c r="M84" s="37" t="n">
        <v>148.26734</v>
      </c>
      <c r="N84" s="37" t="n">
        <v>0</v>
      </c>
      <c r="O84" s="37" t="n">
        <v>0</v>
      </c>
      <c r="P84" s="37" t="n">
        <v>0</v>
      </c>
      <c r="Q84" s="37" t="n">
        <v>0</v>
      </c>
      <c r="R84" s="37" t="n">
        <v>0</v>
      </c>
      <c r="T84" s="49"/>
      <c r="U84" s="49"/>
      <c r="V84" s="49"/>
      <c r="W84" s="44"/>
    </row>
    <row r="85" s="42" customFormat="true" ht="38.05" hidden="false" customHeight="true" outlineLevel="0" collapsed="false">
      <c r="A85" s="40"/>
      <c r="B85" s="54"/>
      <c r="C85" s="31" t="s">
        <v>31</v>
      </c>
      <c r="D85" s="36" t="s">
        <v>42</v>
      </c>
      <c r="E85" s="36" t="s">
        <v>43</v>
      </c>
      <c r="F85" s="37" t="n">
        <f aca="false">SUM(G85:R85)</f>
        <v>415009.75</v>
      </c>
      <c r="G85" s="37" t="n">
        <v>21070.4</v>
      </c>
      <c r="H85" s="37" t="n">
        <v>0</v>
      </c>
      <c r="I85" s="37" t="n">
        <v>0</v>
      </c>
      <c r="J85" s="37" t="n">
        <v>0</v>
      </c>
      <c r="K85" s="37" t="n">
        <v>142227.2</v>
      </c>
      <c r="L85" s="37" t="n">
        <v>0</v>
      </c>
      <c r="M85" s="37" t="n">
        <v>0</v>
      </c>
      <c r="N85" s="37" t="n">
        <v>0</v>
      </c>
      <c r="O85" s="37" t="n">
        <v>200212.15</v>
      </c>
      <c r="P85" s="37" t="n">
        <v>51500</v>
      </c>
      <c r="Q85" s="37" t="n">
        <v>0</v>
      </c>
      <c r="R85" s="37" t="n">
        <v>0</v>
      </c>
      <c r="T85" s="49"/>
      <c r="U85" s="49"/>
      <c r="V85" s="49"/>
      <c r="W85" s="44"/>
      <c r="X85" s="53"/>
      <c r="Y85" s="53"/>
      <c r="Z85" s="53"/>
      <c r="AA85" s="53"/>
    </row>
    <row r="86" s="42" customFormat="true" ht="26.1" hidden="false" customHeight="true" outlineLevel="0" collapsed="false">
      <c r="A86" s="40"/>
      <c r="B86" s="54"/>
      <c r="C86" s="31" t="s">
        <v>32</v>
      </c>
      <c r="D86" s="36" t="s">
        <v>42</v>
      </c>
      <c r="E86" s="36" t="s">
        <v>43</v>
      </c>
      <c r="F86" s="37" t="n">
        <f aca="false">SUM(G86:R86)</f>
        <v>1927774.57018</v>
      </c>
      <c r="G86" s="37" t="n">
        <v>170177.0931</v>
      </c>
      <c r="H86" s="37" t="n">
        <v>126785.10445</v>
      </c>
      <c r="I86" s="37" t="n">
        <v>444293.69557</v>
      </c>
      <c r="J86" s="37" t="n">
        <v>165914.47474</v>
      </c>
      <c r="K86" s="37" t="n">
        <v>151559.71665</v>
      </c>
      <c r="L86" s="37" t="n">
        <v>122752.33565</v>
      </c>
      <c r="M86" s="37" t="n">
        <v>70874.8794</v>
      </c>
      <c r="N86" s="37" t="n">
        <v>108380.61091</v>
      </c>
      <c r="O86" s="37" t="n">
        <v>142454.30971</v>
      </c>
      <c r="P86" s="37" t="n">
        <v>424582.35</v>
      </c>
      <c r="Q86" s="37" t="n">
        <v>0</v>
      </c>
      <c r="R86" s="37" t="n">
        <v>0</v>
      </c>
      <c r="T86" s="49"/>
      <c r="U86" s="49"/>
      <c r="V86" s="49"/>
      <c r="W86" s="44"/>
      <c r="X86" s="53"/>
    </row>
    <row r="87" s="42" customFormat="true" ht="26.1" hidden="false" customHeight="true" outlineLevel="0" collapsed="false">
      <c r="A87" s="40"/>
      <c r="B87" s="54"/>
      <c r="C87" s="31" t="s">
        <v>33</v>
      </c>
      <c r="D87" s="36" t="s">
        <v>42</v>
      </c>
      <c r="E87" s="36" t="s">
        <v>43</v>
      </c>
      <c r="F87" s="37" t="n">
        <f aca="false">SUM(G87:R87)</f>
        <v>3705.30301</v>
      </c>
      <c r="G87" s="37" t="n">
        <v>1146.99031</v>
      </c>
      <c r="H87" s="37" t="n">
        <v>48.92083</v>
      </c>
      <c r="I87" s="37" t="n">
        <v>0</v>
      </c>
      <c r="J87" s="37" t="n">
        <v>0</v>
      </c>
      <c r="K87" s="37" t="n">
        <v>0</v>
      </c>
      <c r="L87" s="37" t="n">
        <v>0</v>
      </c>
      <c r="M87" s="37" t="n">
        <f aca="false">L87*104/100</f>
        <v>0</v>
      </c>
      <c r="N87" s="37" t="n">
        <v>51.1173</v>
      </c>
      <c r="O87" s="33" t="n">
        <v>360.36713</v>
      </c>
      <c r="P87" s="33" t="n">
        <v>2097.90744</v>
      </c>
      <c r="Q87" s="33" t="n">
        <v>0</v>
      </c>
      <c r="R87" s="37" t="n">
        <v>0</v>
      </c>
      <c r="T87" s="49"/>
      <c r="U87" s="49"/>
      <c r="V87" s="49"/>
      <c r="W87" s="44"/>
    </row>
    <row r="88" s="42" customFormat="true" ht="41.25" hidden="false" customHeight="true" outlineLevel="0" collapsed="false">
      <c r="A88" s="40"/>
      <c r="B88" s="54"/>
      <c r="C88" s="31" t="s">
        <v>31</v>
      </c>
      <c r="D88" s="36" t="s">
        <v>59</v>
      </c>
      <c r="E88" s="36" t="s">
        <v>43</v>
      </c>
      <c r="F88" s="37" t="n">
        <f aca="false">SUM(G88:R88)</f>
        <v>76918</v>
      </c>
      <c r="G88" s="37" t="n">
        <v>0</v>
      </c>
      <c r="H88" s="37" t="n">
        <v>76918</v>
      </c>
      <c r="I88" s="37" t="n">
        <v>0</v>
      </c>
      <c r="J88" s="37" t="n">
        <v>0</v>
      </c>
      <c r="K88" s="37" t="n">
        <v>0</v>
      </c>
      <c r="L88" s="37" t="n">
        <v>0</v>
      </c>
      <c r="M88" s="37" t="n">
        <f aca="false">L88*104/100</f>
        <v>0</v>
      </c>
      <c r="N88" s="37" t="n">
        <v>0</v>
      </c>
      <c r="O88" s="33" t="n">
        <v>0</v>
      </c>
      <c r="P88" s="33" t="n">
        <v>0</v>
      </c>
      <c r="Q88" s="33" t="n">
        <v>0</v>
      </c>
      <c r="R88" s="37" t="n">
        <v>0</v>
      </c>
      <c r="T88" s="49"/>
      <c r="U88" s="49"/>
      <c r="V88" s="49"/>
      <c r="W88" s="44"/>
    </row>
    <row r="89" s="42" customFormat="true" ht="14.35" hidden="false" customHeight="true" outlineLevel="0" collapsed="false">
      <c r="A89" s="40" t="s">
        <v>60</v>
      </c>
      <c r="B89" s="54" t="s">
        <v>61</v>
      </c>
      <c r="C89" s="31" t="s">
        <v>30</v>
      </c>
      <c r="D89" s="36" t="s">
        <v>42</v>
      </c>
      <c r="E89" s="36" t="s">
        <v>43</v>
      </c>
      <c r="F89" s="37" t="n">
        <f aca="false">SUM(G89:R89)</f>
        <v>263972.55163</v>
      </c>
      <c r="G89" s="37" t="n">
        <f aca="false">SUM(G90:G95)</f>
        <v>7258.65089</v>
      </c>
      <c r="H89" s="37" t="n">
        <f aca="false">SUM(H90:H95)</f>
        <v>10272.67126</v>
      </c>
      <c r="I89" s="37" t="n">
        <f aca="false">SUM(I90:I95)</f>
        <v>21904.48647</v>
      </c>
      <c r="J89" s="37" t="n">
        <f aca="false">SUM(J90:J95)</f>
        <v>28684.44733</v>
      </c>
      <c r="K89" s="37" t="n">
        <f aca="false">SUM(K90:K95)</f>
        <v>21959.33465</v>
      </c>
      <c r="L89" s="37" t="n">
        <f aca="false">SUM(L90:L95)</f>
        <v>24513.90733</v>
      </c>
      <c r="M89" s="37" t="n">
        <f aca="false">SUM(M90:M95)</f>
        <v>23943.94499</v>
      </c>
      <c r="N89" s="37" t="n">
        <f aca="false">SUM(N90:N95)</f>
        <v>28869.74416</v>
      </c>
      <c r="O89" s="37" t="n">
        <f aca="false">SUM(O90:O95)</f>
        <v>19028.26455</v>
      </c>
      <c r="P89" s="37" t="n">
        <f aca="false">SUM(P90:P95)</f>
        <v>25845.7</v>
      </c>
      <c r="Q89" s="37" t="n">
        <f aca="false">SUM(Q90:Q95)</f>
        <v>25845.7</v>
      </c>
      <c r="R89" s="37" t="n">
        <f aca="false">SUM(R90:R95)</f>
        <v>25845.7</v>
      </c>
      <c r="T89" s="49"/>
      <c r="U89" s="49"/>
      <c r="V89" s="49"/>
      <c r="W89" s="44"/>
    </row>
    <row r="90" s="42" customFormat="true" ht="38.05" hidden="false" customHeight="true" outlineLevel="0" collapsed="false">
      <c r="A90" s="40"/>
      <c r="B90" s="54"/>
      <c r="C90" s="31" t="s">
        <v>31</v>
      </c>
      <c r="D90" s="36"/>
      <c r="E90" s="36"/>
      <c r="F90" s="37" t="n">
        <f aca="false">SUM(G90:R90)</f>
        <v>0</v>
      </c>
      <c r="G90" s="37" t="n">
        <v>0</v>
      </c>
      <c r="H90" s="37" t="n">
        <v>0</v>
      </c>
      <c r="I90" s="37" t="n">
        <v>0</v>
      </c>
      <c r="J90" s="37" t="n">
        <v>0</v>
      </c>
      <c r="K90" s="37" t="n">
        <v>0</v>
      </c>
      <c r="L90" s="37" t="n">
        <v>0</v>
      </c>
      <c r="M90" s="37" t="n">
        <f aca="false">L90*104/100</f>
        <v>0</v>
      </c>
      <c r="N90" s="37" t="n">
        <v>0</v>
      </c>
      <c r="O90" s="33" t="n">
        <v>0</v>
      </c>
      <c r="P90" s="33" t="n">
        <v>0</v>
      </c>
      <c r="Q90" s="33" t="n">
        <v>0</v>
      </c>
      <c r="R90" s="37" t="n">
        <v>0</v>
      </c>
      <c r="T90" s="49"/>
      <c r="U90" s="49"/>
      <c r="V90" s="49"/>
      <c r="W90" s="44"/>
    </row>
    <row r="91" s="42" customFormat="true" ht="29.85" hidden="false" customHeight="true" outlineLevel="0" collapsed="false">
      <c r="A91" s="40"/>
      <c r="B91" s="54"/>
      <c r="C91" s="31" t="s">
        <v>32</v>
      </c>
      <c r="D91" s="36"/>
      <c r="E91" s="36"/>
      <c r="F91" s="37" t="n">
        <f aca="false">SUM(G91:R91)</f>
        <v>263972.55163</v>
      </c>
      <c r="G91" s="37" t="n">
        <v>7258.65089</v>
      </c>
      <c r="H91" s="37" t="n">
        <v>10272.67126</v>
      </c>
      <c r="I91" s="37" t="n">
        <f aca="false">21474.48647+430</f>
        <v>21904.48647</v>
      </c>
      <c r="J91" s="37" t="n">
        <v>28684.44733</v>
      </c>
      <c r="K91" s="37" t="n">
        <v>21959.33465</v>
      </c>
      <c r="L91" s="37" t="n">
        <v>24513.90733</v>
      </c>
      <c r="M91" s="37" t="n">
        <v>23943.94499</v>
      </c>
      <c r="N91" s="37" t="n">
        <v>28869.74416</v>
      </c>
      <c r="O91" s="37" t="n">
        <v>19028.26455</v>
      </c>
      <c r="P91" s="37" t="n">
        <v>25845.7</v>
      </c>
      <c r="Q91" s="37" t="n">
        <v>25845.7</v>
      </c>
      <c r="R91" s="37" t="n">
        <v>25845.7</v>
      </c>
      <c r="T91" s="49"/>
      <c r="U91" s="49"/>
      <c r="V91" s="49"/>
      <c r="W91" s="44"/>
    </row>
    <row r="92" s="42" customFormat="true" ht="22.5" hidden="false" customHeight="false" outlineLevel="0" collapsed="false">
      <c r="A92" s="40"/>
      <c r="B92" s="54"/>
      <c r="C92" s="31" t="s">
        <v>33</v>
      </c>
      <c r="D92" s="36"/>
      <c r="E92" s="36"/>
      <c r="F92" s="37" t="n">
        <f aca="false">SUM(G92:N92)</f>
        <v>0</v>
      </c>
      <c r="G92" s="37" t="n">
        <v>0</v>
      </c>
      <c r="H92" s="37" t="n">
        <v>0</v>
      </c>
      <c r="I92" s="37" t="n">
        <v>0</v>
      </c>
      <c r="J92" s="37" t="n">
        <v>0</v>
      </c>
      <c r="K92" s="37" t="n">
        <v>0</v>
      </c>
      <c r="L92" s="37" t="n">
        <v>0</v>
      </c>
      <c r="M92" s="37" t="n">
        <f aca="false">L92*104/100</f>
        <v>0</v>
      </c>
      <c r="N92" s="37" t="n">
        <v>0</v>
      </c>
      <c r="O92" s="33" t="n">
        <v>0</v>
      </c>
      <c r="P92" s="33" t="n">
        <v>0</v>
      </c>
      <c r="Q92" s="33" t="n">
        <v>0</v>
      </c>
      <c r="R92" s="37" t="n">
        <v>0</v>
      </c>
      <c r="T92" s="49"/>
      <c r="U92" s="49"/>
      <c r="V92" s="49"/>
      <c r="W92" s="44"/>
    </row>
    <row r="93" s="42" customFormat="true" ht="41" hidden="false" customHeight="true" outlineLevel="0" collapsed="false">
      <c r="A93" s="40"/>
      <c r="B93" s="54"/>
      <c r="C93" s="31" t="s">
        <v>34</v>
      </c>
      <c r="D93" s="36"/>
      <c r="E93" s="36"/>
      <c r="F93" s="37" t="n">
        <v>0</v>
      </c>
      <c r="G93" s="37" t="n">
        <v>0</v>
      </c>
      <c r="H93" s="37" t="n">
        <v>0</v>
      </c>
      <c r="I93" s="37" t="n">
        <v>0</v>
      </c>
      <c r="J93" s="37" t="n">
        <v>0</v>
      </c>
      <c r="K93" s="37" t="n">
        <v>0</v>
      </c>
      <c r="L93" s="37" t="n">
        <v>0</v>
      </c>
      <c r="M93" s="37" t="n">
        <f aca="false">L93*104/100</f>
        <v>0</v>
      </c>
      <c r="N93" s="37" t="n">
        <v>0</v>
      </c>
      <c r="O93" s="33" t="n">
        <v>0</v>
      </c>
      <c r="P93" s="33" t="n">
        <v>0</v>
      </c>
      <c r="Q93" s="33" t="n">
        <v>0</v>
      </c>
      <c r="R93" s="37" t="n">
        <v>0</v>
      </c>
      <c r="T93" s="49"/>
      <c r="U93" s="49"/>
      <c r="V93" s="49"/>
      <c r="W93" s="44"/>
    </row>
    <row r="94" s="42" customFormat="true" ht="31.3" hidden="false" customHeight="true" outlineLevel="0" collapsed="false">
      <c r="A94" s="40"/>
      <c r="B94" s="54"/>
      <c r="C94" s="31" t="s">
        <v>35</v>
      </c>
      <c r="D94" s="36"/>
      <c r="E94" s="36"/>
      <c r="F94" s="37" t="n">
        <v>0</v>
      </c>
      <c r="G94" s="37" t="n">
        <v>0</v>
      </c>
      <c r="H94" s="37" t="n">
        <v>0</v>
      </c>
      <c r="I94" s="37" t="n">
        <v>0</v>
      </c>
      <c r="J94" s="37" t="n">
        <v>0</v>
      </c>
      <c r="K94" s="37" t="n">
        <v>0</v>
      </c>
      <c r="L94" s="37" t="n">
        <v>0</v>
      </c>
      <c r="M94" s="37" t="n">
        <f aca="false">L94*104/100</f>
        <v>0</v>
      </c>
      <c r="N94" s="37" t="n">
        <v>0</v>
      </c>
      <c r="O94" s="33" t="n">
        <v>0</v>
      </c>
      <c r="P94" s="33" t="n">
        <v>0</v>
      </c>
      <c r="Q94" s="33" t="n">
        <v>0</v>
      </c>
      <c r="R94" s="37" t="n">
        <v>0</v>
      </c>
      <c r="T94" s="49"/>
      <c r="U94" s="49"/>
      <c r="V94" s="49"/>
      <c r="W94" s="44"/>
    </row>
    <row r="95" s="42" customFormat="true" ht="73.1" hidden="false" customHeight="true" outlineLevel="0" collapsed="false">
      <c r="A95" s="40"/>
      <c r="B95" s="54"/>
      <c r="C95" s="31" t="s">
        <v>36</v>
      </c>
      <c r="D95" s="36"/>
      <c r="E95" s="36"/>
      <c r="F95" s="37" t="n">
        <v>0</v>
      </c>
      <c r="G95" s="37" t="n">
        <v>0</v>
      </c>
      <c r="H95" s="37" t="n">
        <v>0</v>
      </c>
      <c r="I95" s="37" t="n">
        <v>0</v>
      </c>
      <c r="J95" s="37" t="n">
        <v>0</v>
      </c>
      <c r="K95" s="37" t="n">
        <v>0</v>
      </c>
      <c r="L95" s="37" t="n">
        <v>0</v>
      </c>
      <c r="M95" s="37" t="n">
        <f aca="false">L95*104/100</f>
        <v>0</v>
      </c>
      <c r="N95" s="37" t="n">
        <v>0</v>
      </c>
      <c r="O95" s="33" t="n">
        <v>0</v>
      </c>
      <c r="P95" s="33" t="n">
        <v>0</v>
      </c>
      <c r="Q95" s="33" t="n">
        <v>0</v>
      </c>
      <c r="R95" s="37" t="n">
        <v>0</v>
      </c>
      <c r="T95" s="49"/>
      <c r="U95" s="49"/>
      <c r="V95" s="49"/>
      <c r="W95" s="44"/>
    </row>
    <row r="96" s="42" customFormat="true" ht="13.8" hidden="false" customHeight="true" outlineLevel="0" collapsed="false">
      <c r="A96" s="40" t="s">
        <v>62</v>
      </c>
      <c r="B96" s="54" t="s">
        <v>63</v>
      </c>
      <c r="C96" s="31" t="s">
        <v>30</v>
      </c>
      <c r="D96" s="36" t="s">
        <v>42</v>
      </c>
      <c r="E96" s="36" t="s">
        <v>43</v>
      </c>
      <c r="F96" s="37" t="n">
        <f aca="false">SUM(G96:R96)</f>
        <v>900792.38865</v>
      </c>
      <c r="G96" s="37" t="n">
        <f aca="false">SUM(G97:G100)</f>
        <v>0</v>
      </c>
      <c r="H96" s="37" t="n">
        <f aca="false">SUM(H97:H100)</f>
        <v>27249.62607</v>
      </c>
      <c r="I96" s="37" t="n">
        <f aca="false">SUM(I97:I100)</f>
        <v>80286.88927</v>
      </c>
      <c r="J96" s="37" t="n">
        <f aca="false">SUM(J97:J100)</f>
        <v>87396.81544</v>
      </c>
      <c r="K96" s="37" t="n">
        <f aca="false">SUM(K97:K100)</f>
        <v>79707.79597</v>
      </c>
      <c r="L96" s="37" t="n">
        <f aca="false">SUM(L97:L100)</f>
        <v>77744.51102</v>
      </c>
      <c r="M96" s="37" t="n">
        <f aca="false">SUM(M97:M100)</f>
        <v>106713.2915</v>
      </c>
      <c r="N96" s="37" t="n">
        <f aca="false">SUM(N97:N100)</f>
        <v>75317.61613</v>
      </c>
      <c r="O96" s="37" t="n">
        <f aca="false">SUM(O97:O100)</f>
        <v>90676.68345</v>
      </c>
      <c r="P96" s="37" t="n">
        <f aca="false">SUM(P97:P100)</f>
        <v>92463.6718</v>
      </c>
      <c r="Q96" s="37" t="n">
        <f aca="false">SUM(Q97:Q100)</f>
        <v>91617.744</v>
      </c>
      <c r="R96" s="37" t="n">
        <f aca="false">SUM(R97:R100)</f>
        <v>91617.744</v>
      </c>
      <c r="T96" s="49"/>
      <c r="U96" s="49"/>
      <c r="V96" s="49"/>
      <c r="W96" s="44"/>
    </row>
    <row r="97" s="42" customFormat="true" ht="40.25" hidden="false" customHeight="true" outlineLevel="0" collapsed="false">
      <c r="A97" s="40"/>
      <c r="B97" s="54"/>
      <c r="C97" s="31" t="s">
        <v>31</v>
      </c>
      <c r="D97" s="36"/>
      <c r="E97" s="36"/>
      <c r="F97" s="37" t="n">
        <f aca="false">SUM(G97:R97)</f>
        <v>0</v>
      </c>
      <c r="G97" s="37" t="n">
        <v>0</v>
      </c>
      <c r="H97" s="37" t="n">
        <v>0</v>
      </c>
      <c r="I97" s="37" t="n">
        <v>0</v>
      </c>
      <c r="J97" s="37" t="n">
        <v>0</v>
      </c>
      <c r="K97" s="37" t="n">
        <v>0</v>
      </c>
      <c r="L97" s="37" t="n">
        <v>0</v>
      </c>
      <c r="M97" s="37" t="n">
        <f aca="false">L97*104/100</f>
        <v>0</v>
      </c>
      <c r="N97" s="37" t="n">
        <v>0</v>
      </c>
      <c r="O97" s="33" t="n">
        <v>0</v>
      </c>
      <c r="P97" s="33" t="n">
        <v>0</v>
      </c>
      <c r="Q97" s="33" t="n">
        <v>0</v>
      </c>
      <c r="R97" s="37" t="n">
        <v>0</v>
      </c>
      <c r="T97" s="49"/>
      <c r="U97" s="49"/>
      <c r="V97" s="49"/>
      <c r="W97" s="44"/>
    </row>
    <row r="98" s="42" customFormat="true" ht="24.85" hidden="false" customHeight="false" outlineLevel="0" collapsed="false">
      <c r="A98" s="40"/>
      <c r="B98" s="54"/>
      <c r="C98" s="31" t="s">
        <v>32</v>
      </c>
      <c r="D98" s="36"/>
      <c r="E98" s="36"/>
      <c r="F98" s="37" t="n">
        <f aca="false">SUM(G98:R98)</f>
        <v>900792.38865</v>
      </c>
      <c r="G98" s="37" t="n">
        <v>0</v>
      </c>
      <c r="H98" s="37" t="n">
        <v>27249.62607</v>
      </c>
      <c r="I98" s="37" t="n">
        <v>80286.88927</v>
      </c>
      <c r="J98" s="37" t="n">
        <v>87396.81544</v>
      </c>
      <c r="K98" s="37" t="n">
        <v>79707.79597</v>
      </c>
      <c r="L98" s="37" t="n">
        <v>77744.51102</v>
      </c>
      <c r="M98" s="37" t="n">
        <v>106713.2915</v>
      </c>
      <c r="N98" s="37" t="n">
        <v>75317.61613</v>
      </c>
      <c r="O98" s="37" t="n">
        <v>90676.68345</v>
      </c>
      <c r="P98" s="37" t="n">
        <v>92463.6718</v>
      </c>
      <c r="Q98" s="37" t="n">
        <v>91617.744</v>
      </c>
      <c r="R98" s="37" t="n">
        <v>91617.744</v>
      </c>
      <c r="T98" s="49"/>
      <c r="U98" s="49"/>
      <c r="V98" s="49"/>
      <c r="W98" s="44"/>
    </row>
    <row r="99" s="42" customFormat="true" ht="28.35" hidden="false" customHeight="true" outlineLevel="0" collapsed="false">
      <c r="A99" s="40"/>
      <c r="B99" s="54"/>
      <c r="C99" s="31" t="s">
        <v>33</v>
      </c>
      <c r="D99" s="36"/>
      <c r="E99" s="36"/>
      <c r="F99" s="37" t="n">
        <f aca="false">SUM(G99:R99)</f>
        <v>0</v>
      </c>
      <c r="G99" s="37" t="n">
        <v>0</v>
      </c>
      <c r="H99" s="37" t="n">
        <v>0</v>
      </c>
      <c r="I99" s="37" t="n">
        <v>0</v>
      </c>
      <c r="J99" s="37" t="n">
        <v>0</v>
      </c>
      <c r="K99" s="37" t="n">
        <v>0</v>
      </c>
      <c r="L99" s="37" t="n">
        <v>0</v>
      </c>
      <c r="M99" s="37" t="n">
        <f aca="false">L99*104/100</f>
        <v>0</v>
      </c>
      <c r="N99" s="37" t="n">
        <v>0</v>
      </c>
      <c r="O99" s="33" t="n">
        <v>0</v>
      </c>
      <c r="P99" s="33" t="n">
        <v>0</v>
      </c>
      <c r="Q99" s="33" t="n">
        <v>0</v>
      </c>
      <c r="R99" s="37" t="n">
        <v>0</v>
      </c>
      <c r="T99" s="49"/>
      <c r="U99" s="49"/>
      <c r="V99" s="49"/>
      <c r="W99" s="44"/>
    </row>
    <row r="100" s="42" customFormat="true" ht="37.3" hidden="false" customHeight="true" outlineLevel="0" collapsed="false">
      <c r="A100" s="40"/>
      <c r="B100" s="54"/>
      <c r="C100" s="31" t="s">
        <v>34</v>
      </c>
      <c r="D100" s="36"/>
      <c r="E100" s="36"/>
      <c r="F100" s="37" t="n">
        <f aca="false">SUM(G100:R100)</f>
        <v>0</v>
      </c>
      <c r="G100" s="37" t="n">
        <v>0</v>
      </c>
      <c r="H100" s="37" t="n">
        <v>0</v>
      </c>
      <c r="I100" s="37" t="n">
        <v>0</v>
      </c>
      <c r="J100" s="37" t="n">
        <v>0</v>
      </c>
      <c r="K100" s="37" t="n">
        <v>0</v>
      </c>
      <c r="L100" s="37" t="n">
        <v>0</v>
      </c>
      <c r="M100" s="37" t="n">
        <f aca="false">L100*104/100</f>
        <v>0</v>
      </c>
      <c r="N100" s="37" t="n">
        <v>0</v>
      </c>
      <c r="O100" s="33" t="n">
        <v>0</v>
      </c>
      <c r="P100" s="33" t="n">
        <v>0</v>
      </c>
      <c r="Q100" s="33" t="n">
        <v>0</v>
      </c>
      <c r="R100" s="37" t="n">
        <v>0</v>
      </c>
      <c r="T100" s="49"/>
      <c r="U100" s="49"/>
      <c r="V100" s="49"/>
      <c r="W100" s="44"/>
    </row>
    <row r="101" s="42" customFormat="true" ht="29.1" hidden="false" customHeight="true" outlineLevel="0" collapsed="false">
      <c r="A101" s="40"/>
      <c r="B101" s="54"/>
      <c r="C101" s="31" t="s">
        <v>35</v>
      </c>
      <c r="D101" s="36"/>
      <c r="E101" s="36"/>
      <c r="F101" s="37" t="n">
        <f aca="false">SUM(G101:R101)</f>
        <v>0</v>
      </c>
      <c r="G101" s="37" t="n">
        <v>0</v>
      </c>
      <c r="H101" s="37" t="n">
        <v>0</v>
      </c>
      <c r="I101" s="37" t="n">
        <v>0</v>
      </c>
      <c r="J101" s="37" t="n">
        <v>0</v>
      </c>
      <c r="K101" s="37" t="n">
        <v>0</v>
      </c>
      <c r="L101" s="37" t="n">
        <v>0</v>
      </c>
      <c r="M101" s="37" t="n">
        <f aca="false">L101*104/100</f>
        <v>0</v>
      </c>
      <c r="N101" s="37" t="n">
        <v>0</v>
      </c>
      <c r="O101" s="33" t="n">
        <v>0</v>
      </c>
      <c r="P101" s="33" t="n">
        <v>0</v>
      </c>
      <c r="Q101" s="33" t="n">
        <v>0</v>
      </c>
      <c r="R101" s="37" t="n">
        <v>0</v>
      </c>
      <c r="T101" s="49"/>
      <c r="U101" s="49"/>
      <c r="V101" s="49"/>
      <c r="W101" s="44"/>
    </row>
    <row r="102" s="42" customFormat="true" ht="73.85" hidden="false" customHeight="true" outlineLevel="0" collapsed="false">
      <c r="A102" s="40"/>
      <c r="B102" s="54"/>
      <c r="C102" s="31" t="s">
        <v>36</v>
      </c>
      <c r="D102" s="36"/>
      <c r="E102" s="36"/>
      <c r="F102" s="37" t="n">
        <f aca="false">SUM(G102:R102)</f>
        <v>0</v>
      </c>
      <c r="G102" s="37" t="n">
        <v>0</v>
      </c>
      <c r="H102" s="37" t="n">
        <v>0</v>
      </c>
      <c r="I102" s="37" t="n">
        <v>0</v>
      </c>
      <c r="J102" s="37" t="n">
        <v>0</v>
      </c>
      <c r="K102" s="37" t="n">
        <v>0</v>
      </c>
      <c r="L102" s="37" t="n">
        <v>0</v>
      </c>
      <c r="M102" s="37" t="n">
        <f aca="false">L102*104/100</f>
        <v>0</v>
      </c>
      <c r="N102" s="37" t="n">
        <v>0</v>
      </c>
      <c r="O102" s="33" t="n">
        <v>0</v>
      </c>
      <c r="P102" s="33" t="n">
        <v>0</v>
      </c>
      <c r="Q102" s="33" t="n">
        <v>0</v>
      </c>
      <c r="R102" s="37" t="n">
        <v>0</v>
      </c>
      <c r="T102" s="49"/>
      <c r="U102" s="49"/>
      <c r="V102" s="49"/>
      <c r="W102" s="44"/>
    </row>
    <row r="103" s="42" customFormat="true" ht="20.1" hidden="false" customHeight="true" outlineLevel="0" collapsed="false">
      <c r="A103" s="40" t="s">
        <v>64</v>
      </c>
      <c r="B103" s="41" t="s">
        <v>65</v>
      </c>
      <c r="C103" s="62" t="s">
        <v>30</v>
      </c>
      <c r="D103" s="36"/>
      <c r="E103" s="36"/>
      <c r="F103" s="37" t="n">
        <f aca="false">SUM(G103:R103)</f>
        <v>3844786.05641205</v>
      </c>
      <c r="G103" s="37" t="n">
        <f aca="false">SUM(G104:G110)</f>
        <v>0</v>
      </c>
      <c r="H103" s="37" t="n">
        <f aca="false">SUM(H104:H110)</f>
        <v>0</v>
      </c>
      <c r="I103" s="37" t="n">
        <f aca="false">SUM(I104:I110)</f>
        <v>0</v>
      </c>
      <c r="J103" s="37" t="n">
        <f aca="false">SUM(J104:J110)</f>
        <v>0</v>
      </c>
      <c r="K103" s="37" t="n">
        <f aca="false">SUM(K104:K110)</f>
        <v>0</v>
      </c>
      <c r="L103" s="37" t="n">
        <f aca="false">SUM(L104:L110)</f>
        <v>269388.0457</v>
      </c>
      <c r="M103" s="37" t="n">
        <f aca="false">SUM(M104:M110)</f>
        <v>19098.4909746465</v>
      </c>
      <c r="N103" s="37" t="n">
        <f aca="false">SUM(N104:N110)</f>
        <v>536816.94564</v>
      </c>
      <c r="O103" s="37" t="n">
        <f aca="false">SUM(O104:O110)</f>
        <v>1161154.40045</v>
      </c>
      <c r="P103" s="37" t="n">
        <f aca="false">SUM(P104:P110)</f>
        <v>1117712.6107374</v>
      </c>
      <c r="Q103" s="37" t="n">
        <f aca="false">SUM(Q104:Q110)</f>
        <v>740615.56291</v>
      </c>
      <c r="R103" s="37" t="n">
        <f aca="false">SUM(R104:R110)</f>
        <v>0</v>
      </c>
      <c r="T103" s="11" t="n">
        <f aca="false">P104+P107</f>
        <v>368590.7</v>
      </c>
      <c r="U103" s="11" t="n">
        <f aca="false">Q104+Q107</f>
        <v>410526.6</v>
      </c>
      <c r="V103" s="49"/>
      <c r="W103" s="44"/>
    </row>
    <row r="104" s="42" customFormat="true" ht="38.05" hidden="false" customHeight="true" outlineLevel="0" collapsed="false">
      <c r="A104" s="40"/>
      <c r="B104" s="41"/>
      <c r="C104" s="62" t="s">
        <v>31</v>
      </c>
      <c r="D104" s="36" t="s">
        <v>42</v>
      </c>
      <c r="E104" s="36" t="s">
        <v>43</v>
      </c>
      <c r="F104" s="37" t="n">
        <f aca="false">SUM(G104:R104)</f>
        <v>206991</v>
      </c>
      <c r="G104" s="37" t="n">
        <f aca="false">G112+G117+G142+G152</f>
        <v>0</v>
      </c>
      <c r="H104" s="37" t="n">
        <f aca="false">H112+H117+H142+H152</f>
        <v>0</v>
      </c>
      <c r="I104" s="37" t="n">
        <f aca="false">I112+I117+I142+I152</f>
        <v>0</v>
      </c>
      <c r="J104" s="37" t="n">
        <f aca="false">J112+J117+J142+J152</f>
        <v>0</v>
      </c>
      <c r="K104" s="37" t="n">
        <f aca="false">K112+K117+K142+K152</f>
        <v>0</v>
      </c>
      <c r="L104" s="37" t="n">
        <f aca="false">L112+L117+L142+L152</f>
        <v>19939.1</v>
      </c>
      <c r="M104" s="37" t="n">
        <f aca="false">M112+M117+M142+M152</f>
        <v>18795.8</v>
      </c>
      <c r="N104" s="37" t="n">
        <f aca="false">N112+N117+N142+N152</f>
        <v>41009.7</v>
      </c>
      <c r="O104" s="37" t="n">
        <f aca="false">O112+O117+O152</f>
        <v>30730.6</v>
      </c>
      <c r="P104" s="37" t="n">
        <f aca="false">P112+P117+P152+P147</f>
        <v>48028.9</v>
      </c>
      <c r="Q104" s="37" t="n">
        <f aca="false">Q112+Q117+Q152+Q147</f>
        <v>48486.9</v>
      </c>
      <c r="R104" s="37" t="n">
        <f aca="false">R112+R117+R152</f>
        <v>0</v>
      </c>
      <c r="T104" s="63" t="n">
        <f aca="false">48028.9-P104</f>
        <v>0</v>
      </c>
      <c r="U104" s="63" t="n">
        <f aca="false">48486.9-Q104</f>
        <v>7.27595761418343E-012</v>
      </c>
      <c r="V104" s="63" t="n">
        <v>0</v>
      </c>
      <c r="W104" s="44"/>
    </row>
    <row r="105" s="42" customFormat="true" ht="26.85" hidden="false" customHeight="true" outlineLevel="0" collapsed="false">
      <c r="A105" s="40"/>
      <c r="B105" s="41"/>
      <c r="C105" s="62" t="s">
        <v>32</v>
      </c>
      <c r="D105" s="36" t="s">
        <v>42</v>
      </c>
      <c r="E105" s="36" t="s">
        <v>43</v>
      </c>
      <c r="F105" s="37" t="n">
        <f aca="false">SUM(G105:R105)</f>
        <v>3383.75804</v>
      </c>
      <c r="G105" s="37" t="n">
        <f aca="false">G113+G118+G143+G153</f>
        <v>0</v>
      </c>
      <c r="H105" s="37" t="n">
        <f aca="false">H113+H118+H143+H153</f>
        <v>0</v>
      </c>
      <c r="I105" s="37" t="n">
        <f aca="false">I113+I118+I143+I153</f>
        <v>0</v>
      </c>
      <c r="J105" s="37" t="n">
        <f aca="false">J113+J118+J143+J153</f>
        <v>0</v>
      </c>
      <c r="K105" s="37" t="n">
        <f aca="false">K113+K118+K143+K153</f>
        <v>0</v>
      </c>
      <c r="L105" s="37" t="n">
        <f aca="false">L113+L118+L143+L153</f>
        <v>201.40505</v>
      </c>
      <c r="M105" s="37" t="n">
        <f aca="false">M113+M118+M143+M153</f>
        <v>189.85657</v>
      </c>
      <c r="N105" s="37" t="n">
        <f aca="false">N113+N118+N143+N153</f>
        <v>414.25</v>
      </c>
      <c r="O105" s="37" t="n">
        <f aca="false">O113+O118+O153</f>
        <v>956.8747</v>
      </c>
      <c r="P105" s="37" t="n">
        <f aca="false">P113+P118+P153+P148</f>
        <v>889.18081</v>
      </c>
      <c r="Q105" s="37" t="n">
        <f aca="false">Q113+Q118+Q153+Q148</f>
        <v>732.19091</v>
      </c>
      <c r="R105" s="37" t="n">
        <f aca="false">R113+R118+R153</f>
        <v>0</v>
      </c>
      <c r="T105" s="63" t="n">
        <f aca="false">889.18081-P105</f>
        <v>0</v>
      </c>
      <c r="U105" s="63" t="n">
        <f aca="false">732.19091-Q105</f>
        <v>0</v>
      </c>
      <c r="V105" s="63" t="n">
        <v>0</v>
      </c>
      <c r="W105" s="44"/>
    </row>
    <row r="106" s="42" customFormat="true" ht="26.85" hidden="false" customHeight="true" outlineLevel="0" collapsed="false">
      <c r="A106" s="40"/>
      <c r="B106" s="41"/>
      <c r="C106" s="62" t="s">
        <v>33</v>
      </c>
      <c r="D106" s="36" t="s">
        <v>42</v>
      </c>
      <c r="E106" s="36" t="s">
        <v>43</v>
      </c>
      <c r="F106" s="37" t="n">
        <f aca="false">SUM(G106:R106)</f>
        <v>927.793402046465</v>
      </c>
      <c r="G106" s="37" t="n">
        <v>0</v>
      </c>
      <c r="H106" s="37" t="n">
        <v>0</v>
      </c>
      <c r="I106" s="37" t="n">
        <v>0</v>
      </c>
      <c r="J106" s="37" t="n">
        <v>0</v>
      </c>
      <c r="K106" s="37" t="n">
        <v>0</v>
      </c>
      <c r="L106" s="37" t="n">
        <f aca="false">L114+L119</f>
        <v>121.02132</v>
      </c>
      <c r="M106" s="37" t="n">
        <f aca="false">M114+M119</f>
        <v>112.834404646465</v>
      </c>
      <c r="N106" s="37" t="n">
        <f aca="false">N114+N119</f>
        <v>142.36643</v>
      </c>
      <c r="O106" s="37" t="n">
        <f aca="false">O114+O1202+O154</f>
        <v>158.45932</v>
      </c>
      <c r="P106" s="37" t="n">
        <f aca="false">P114+P1202+P154+P149</f>
        <v>393.1119274</v>
      </c>
      <c r="Q106" s="37" t="n">
        <f aca="false">Q114+Q1202+Q154</f>
        <v>0</v>
      </c>
      <c r="R106" s="37" t="n">
        <f aca="false">R114+R1202+R154</f>
        <v>0</v>
      </c>
      <c r="T106" s="49"/>
      <c r="U106" s="49"/>
      <c r="V106" s="49"/>
      <c r="W106" s="44"/>
    </row>
    <row r="107" s="42" customFormat="true" ht="38.8" hidden="false" customHeight="true" outlineLevel="0" collapsed="false">
      <c r="A107" s="40"/>
      <c r="B107" s="41"/>
      <c r="C107" s="62" t="s">
        <v>31</v>
      </c>
      <c r="D107" s="36" t="s">
        <v>58</v>
      </c>
      <c r="E107" s="36" t="s">
        <v>43</v>
      </c>
      <c r="F107" s="37" t="n">
        <f aca="false">SUM(G107:R107)</f>
        <v>1550838.2</v>
      </c>
      <c r="G107" s="37" t="n">
        <v>0</v>
      </c>
      <c r="H107" s="37" t="n">
        <v>0</v>
      </c>
      <c r="I107" s="37" t="n">
        <v>0</v>
      </c>
      <c r="J107" s="37" t="n">
        <v>0</v>
      </c>
      <c r="K107" s="37" t="n">
        <v>0</v>
      </c>
      <c r="L107" s="37" t="n">
        <f aca="false">L122+L127+L132</f>
        <v>0</v>
      </c>
      <c r="M107" s="37" t="n">
        <v>0</v>
      </c>
      <c r="N107" s="37" t="n">
        <f aca="false">N122+N127+N132</f>
        <v>301915.5</v>
      </c>
      <c r="O107" s="37" t="n">
        <f aca="false">O122+O127+O132</f>
        <v>566321.2</v>
      </c>
      <c r="P107" s="37" t="n">
        <f aca="false">P122+P127+P132</f>
        <v>320561.8</v>
      </c>
      <c r="Q107" s="37" t="n">
        <f aca="false">Q122+Q127+Q132</f>
        <v>362039.7</v>
      </c>
      <c r="R107" s="37" t="n">
        <f aca="false">R122+R127+R132</f>
        <v>0</v>
      </c>
      <c r="T107" s="63" t="n">
        <f aca="false">320561.8-P107</f>
        <v>0</v>
      </c>
      <c r="U107" s="63" t="n">
        <f aca="false">362039.7-Q107</f>
        <v>0</v>
      </c>
      <c r="V107" s="63" t="n">
        <v>0</v>
      </c>
      <c r="W107" s="44"/>
    </row>
    <row r="108" s="42" customFormat="true" ht="30.55" hidden="false" customHeight="true" outlineLevel="0" collapsed="false">
      <c r="A108" s="40"/>
      <c r="B108" s="41"/>
      <c r="C108" s="62" t="s">
        <v>32</v>
      </c>
      <c r="D108" s="36" t="s">
        <v>58</v>
      </c>
      <c r="E108" s="36" t="s">
        <v>43</v>
      </c>
      <c r="F108" s="37" t="n">
        <f aca="false">SUM(G108:R108)</f>
        <v>2081399.67237</v>
      </c>
      <c r="G108" s="37" t="n">
        <v>0</v>
      </c>
      <c r="H108" s="37" t="n">
        <v>0</v>
      </c>
      <c r="I108" s="37" t="n">
        <v>0</v>
      </c>
      <c r="J108" s="37" t="n">
        <v>0</v>
      </c>
      <c r="K108" s="37" t="n">
        <v>0</v>
      </c>
      <c r="L108" s="37" t="n">
        <f aca="false">L123+L128+L133</f>
        <v>247880.88673</v>
      </c>
      <c r="M108" s="37" t="n">
        <f aca="false">M123+M128+M133</f>
        <v>0</v>
      </c>
      <c r="N108" s="37" t="n">
        <f aca="false">N123+N128+N133</f>
        <v>193335.12921</v>
      </c>
      <c r="O108" s="37" t="n">
        <f aca="false">O123+O128+O133</f>
        <v>562987.26643</v>
      </c>
      <c r="P108" s="37" t="n">
        <f aca="false">P123+P128+P133</f>
        <v>747839.618</v>
      </c>
      <c r="Q108" s="37" t="n">
        <f aca="false">Q123+Q128+Q133</f>
        <v>329356.772</v>
      </c>
      <c r="R108" s="37" t="n">
        <f aca="false">R123+R128+R133</f>
        <v>0</v>
      </c>
      <c r="T108" s="49" t="n">
        <f aca="false">747839.618-P108</f>
        <v>0</v>
      </c>
      <c r="U108" s="49" t="n">
        <f aca="false">329356.772-Q108</f>
        <v>0</v>
      </c>
      <c r="V108" s="49" t="n">
        <v>0</v>
      </c>
      <c r="W108" s="44"/>
    </row>
    <row r="109" s="42" customFormat="true" ht="29.85" hidden="false" customHeight="true" outlineLevel="0" collapsed="false">
      <c r="A109" s="40"/>
      <c r="B109" s="41"/>
      <c r="C109" s="62" t="s">
        <v>33</v>
      </c>
      <c r="D109" s="36" t="s">
        <v>58</v>
      </c>
      <c r="E109" s="36" t="s">
        <v>43</v>
      </c>
      <c r="F109" s="37" t="n">
        <f aca="false">SUM(G109:R109)</f>
        <v>1245.6326</v>
      </c>
      <c r="G109" s="37" t="n">
        <v>0</v>
      </c>
      <c r="H109" s="37" t="n">
        <v>0</v>
      </c>
      <c r="I109" s="37" t="n">
        <v>0</v>
      </c>
      <c r="J109" s="37" t="n">
        <v>0</v>
      </c>
      <c r="K109" s="37" t="n">
        <v>0</v>
      </c>
      <c r="L109" s="37" t="n">
        <f aca="false">L124+L129+L134</f>
        <v>1245.6326</v>
      </c>
      <c r="M109" s="37" t="n">
        <f aca="false">M124+M129+M134</f>
        <v>0</v>
      </c>
      <c r="N109" s="37" t="n">
        <f aca="false">N124+N129+N134</f>
        <v>0</v>
      </c>
      <c r="O109" s="37" t="n">
        <f aca="false">O124+O129+O134</f>
        <v>0</v>
      </c>
      <c r="P109" s="37" t="n">
        <f aca="false">P124+P129+P134</f>
        <v>0</v>
      </c>
      <c r="Q109" s="37" t="n">
        <f aca="false">Q124+Q129+Q134</f>
        <v>0</v>
      </c>
      <c r="R109" s="37" t="n">
        <f aca="false">R124+R129+R134</f>
        <v>0</v>
      </c>
      <c r="T109" s="11" t="n">
        <f aca="false">P108+P105</f>
        <v>748728.79881</v>
      </c>
      <c r="U109" s="11" t="n">
        <f aca="false">Q108+Q105</f>
        <v>330088.96291</v>
      </c>
      <c r="V109" s="11" t="n">
        <f aca="false">R108+R105</f>
        <v>0</v>
      </c>
      <c r="W109" s="44"/>
    </row>
    <row r="110" s="42" customFormat="true" ht="74.6" hidden="false" customHeight="true" outlineLevel="0" collapsed="false">
      <c r="A110" s="40"/>
      <c r="B110" s="41"/>
      <c r="C110" s="62" t="s">
        <v>36</v>
      </c>
      <c r="D110" s="36"/>
      <c r="E110" s="36"/>
      <c r="F110" s="37" t="n">
        <f aca="false">SUM(G110:R110)</f>
        <v>0</v>
      </c>
      <c r="G110" s="37" t="n">
        <v>0</v>
      </c>
      <c r="H110" s="37" t="n">
        <v>0</v>
      </c>
      <c r="I110" s="37" t="n">
        <v>0</v>
      </c>
      <c r="J110" s="37" t="n">
        <v>0</v>
      </c>
      <c r="K110" s="37" t="n">
        <v>0</v>
      </c>
      <c r="L110" s="37" t="n">
        <v>0</v>
      </c>
      <c r="M110" s="37" t="n">
        <v>0</v>
      </c>
      <c r="N110" s="37" t="n">
        <v>0</v>
      </c>
      <c r="O110" s="37" t="n">
        <v>0</v>
      </c>
      <c r="P110" s="37" t="n">
        <v>0</v>
      </c>
      <c r="Q110" s="37" t="n">
        <v>0</v>
      </c>
      <c r="R110" s="37" t="n">
        <v>0</v>
      </c>
      <c r="T110" s="49"/>
      <c r="U110" s="49"/>
      <c r="V110" s="49"/>
      <c r="W110" s="44"/>
    </row>
    <row r="111" s="42" customFormat="true" ht="20.1" hidden="false" customHeight="true" outlineLevel="0" collapsed="false">
      <c r="A111" s="64" t="s">
        <v>66</v>
      </c>
      <c r="B111" s="54" t="s">
        <v>67</v>
      </c>
      <c r="C111" s="62" t="s">
        <v>30</v>
      </c>
      <c r="D111" s="36"/>
      <c r="E111" s="36"/>
      <c r="F111" s="37" t="n">
        <f aca="false">F112+F113+F114+F115</f>
        <v>94898.4352650465</v>
      </c>
      <c r="G111" s="37" t="n">
        <f aca="false">G112+G113+G114+G115</f>
        <v>0</v>
      </c>
      <c r="H111" s="37" t="n">
        <f aca="false">H112+H113+H114+H115</f>
        <v>0</v>
      </c>
      <c r="I111" s="37" t="n">
        <f aca="false">I112+I113+I114+I115</f>
        <v>0</v>
      </c>
      <c r="J111" s="37" t="n">
        <f aca="false">J112+J113+J114+J115</f>
        <v>0</v>
      </c>
      <c r="K111" s="37" t="n">
        <f aca="false">K112+K113+K114+K115</f>
        <v>0</v>
      </c>
      <c r="L111" s="37" t="n">
        <f aca="false">L112+L113+L114+L115</f>
        <v>12102.13243</v>
      </c>
      <c r="M111" s="37" t="n">
        <f aca="false">M112+M113+M114+M115</f>
        <v>11283.4404646465</v>
      </c>
      <c r="N111" s="37" t="n">
        <f aca="false">N112+N113+N114+N115</f>
        <v>15829.74643</v>
      </c>
      <c r="O111" s="37" t="n">
        <f aca="false">O112+O113+O114+O115</f>
        <v>15845.93402</v>
      </c>
      <c r="P111" s="37" t="n">
        <f aca="false">P112+P113+P114+P115</f>
        <v>17738.3940404</v>
      </c>
      <c r="Q111" s="37" t="n">
        <f aca="false">Q112+Q113+Q114+Q115</f>
        <v>22098.78788</v>
      </c>
      <c r="R111" s="37" t="n">
        <f aca="false">R112+R113+R114+R115</f>
        <v>0</v>
      </c>
      <c r="T111" s="49"/>
      <c r="U111" s="49"/>
      <c r="V111" s="49"/>
      <c r="W111" s="44"/>
    </row>
    <row r="112" s="42" customFormat="true" ht="38.8" hidden="false" customHeight="true" outlineLevel="0" collapsed="false">
      <c r="A112" s="64"/>
      <c r="B112" s="54"/>
      <c r="C112" s="62" t="s">
        <v>31</v>
      </c>
      <c r="D112" s="36" t="s">
        <v>42</v>
      </c>
      <c r="E112" s="36" t="s">
        <v>43</v>
      </c>
      <c r="F112" s="37" t="n">
        <f aca="false">SUM(G112:R112)</f>
        <v>93244.5</v>
      </c>
      <c r="G112" s="37" t="n">
        <v>0</v>
      </c>
      <c r="H112" s="37" t="n">
        <v>0</v>
      </c>
      <c r="I112" s="37" t="n">
        <v>0</v>
      </c>
      <c r="J112" s="37" t="n">
        <v>0</v>
      </c>
      <c r="K112" s="37" t="n">
        <v>0</v>
      </c>
      <c r="L112" s="37" t="n">
        <v>11861.3</v>
      </c>
      <c r="M112" s="37" t="n">
        <v>11058.9</v>
      </c>
      <c r="N112" s="37" t="n">
        <v>15530.5</v>
      </c>
      <c r="O112" s="37" t="n">
        <v>15530.6</v>
      </c>
      <c r="P112" s="37" t="n">
        <v>17385.4</v>
      </c>
      <c r="Q112" s="37" t="n">
        <v>21877.8</v>
      </c>
      <c r="R112" s="37" t="n">
        <v>0</v>
      </c>
      <c r="T112" s="49"/>
      <c r="U112" s="49"/>
      <c r="V112" s="49"/>
      <c r="W112" s="44"/>
    </row>
    <row r="113" s="42" customFormat="true" ht="30.55" hidden="false" customHeight="true" outlineLevel="0" collapsed="false">
      <c r="A113" s="64"/>
      <c r="B113" s="54"/>
      <c r="C113" s="62" t="s">
        <v>32</v>
      </c>
      <c r="D113" s="36" t="s">
        <v>42</v>
      </c>
      <c r="E113" s="36" t="s">
        <v>43</v>
      </c>
      <c r="F113" s="37" t="n">
        <f aca="false">SUM(G113:R113)</f>
        <v>941.86985</v>
      </c>
      <c r="G113" s="37" t="n">
        <v>0</v>
      </c>
      <c r="H113" s="37" t="n">
        <v>0</v>
      </c>
      <c r="I113" s="37" t="n">
        <v>0</v>
      </c>
      <c r="J113" s="37" t="n">
        <v>0</v>
      </c>
      <c r="K113" s="37" t="n">
        <v>0</v>
      </c>
      <c r="L113" s="37" t="n">
        <v>119.81111</v>
      </c>
      <c r="M113" s="37" t="n">
        <v>111.70606</v>
      </c>
      <c r="N113" s="37" t="n">
        <v>156.88</v>
      </c>
      <c r="O113" s="37" t="n">
        <v>156.8747</v>
      </c>
      <c r="P113" s="37" t="n">
        <v>175.6101</v>
      </c>
      <c r="Q113" s="37" t="n">
        <v>220.98788</v>
      </c>
      <c r="R113" s="37" t="n">
        <v>0</v>
      </c>
      <c r="T113" s="49"/>
      <c r="U113" s="49"/>
      <c r="V113" s="49"/>
      <c r="W113" s="44"/>
    </row>
    <row r="114" s="42" customFormat="true" ht="31.3" hidden="false" customHeight="true" outlineLevel="0" collapsed="false">
      <c r="A114" s="64"/>
      <c r="B114" s="54"/>
      <c r="C114" s="62" t="s">
        <v>33</v>
      </c>
      <c r="D114" s="36"/>
      <c r="E114" s="36"/>
      <c r="F114" s="37" t="n">
        <f aca="false">SUM(G114:R114)</f>
        <v>712.065415046465</v>
      </c>
      <c r="G114" s="37" t="n">
        <v>0</v>
      </c>
      <c r="H114" s="37" t="n">
        <v>0</v>
      </c>
      <c r="I114" s="37" t="n">
        <v>0</v>
      </c>
      <c r="J114" s="37" t="n">
        <v>0</v>
      </c>
      <c r="K114" s="37" t="n">
        <v>0</v>
      </c>
      <c r="L114" s="37" t="n">
        <v>121.02132</v>
      </c>
      <c r="M114" s="37" t="n">
        <f aca="false">(M112+M113)/99</f>
        <v>112.834404646465</v>
      </c>
      <c r="N114" s="37" t="n">
        <v>142.36643</v>
      </c>
      <c r="O114" s="37" t="n">
        <v>158.45932</v>
      </c>
      <c r="P114" s="37" t="n">
        <v>177.3839404</v>
      </c>
      <c r="Q114" s="37" t="n">
        <v>0</v>
      </c>
      <c r="R114" s="37" t="n">
        <v>0</v>
      </c>
      <c r="T114" s="49"/>
      <c r="U114" s="49"/>
      <c r="V114" s="49"/>
      <c r="W114" s="44"/>
    </row>
    <row r="115" s="42" customFormat="true" ht="76.1" hidden="false" customHeight="true" outlineLevel="0" collapsed="false">
      <c r="A115" s="64"/>
      <c r="B115" s="54"/>
      <c r="C115" s="62" t="s">
        <v>36</v>
      </c>
      <c r="D115" s="36"/>
      <c r="E115" s="36"/>
      <c r="F115" s="37" t="n">
        <f aca="false">SUM(G115:R115)</f>
        <v>0</v>
      </c>
      <c r="G115" s="37" t="n">
        <v>0</v>
      </c>
      <c r="H115" s="37" t="n">
        <v>0</v>
      </c>
      <c r="I115" s="37" t="n">
        <v>0</v>
      </c>
      <c r="J115" s="37" t="n">
        <v>0</v>
      </c>
      <c r="K115" s="37" t="n">
        <v>0</v>
      </c>
      <c r="L115" s="37" t="n">
        <v>0</v>
      </c>
      <c r="M115" s="37" t="n">
        <v>0</v>
      </c>
      <c r="N115" s="37" t="n">
        <v>0</v>
      </c>
      <c r="O115" s="37" t="n">
        <v>0</v>
      </c>
      <c r="P115" s="37" t="n">
        <v>0</v>
      </c>
      <c r="Q115" s="37" t="n">
        <v>0</v>
      </c>
      <c r="R115" s="37" t="n">
        <v>0</v>
      </c>
      <c r="T115" s="49"/>
      <c r="U115" s="49"/>
      <c r="V115" s="49"/>
      <c r="W115" s="44"/>
    </row>
    <row r="116" s="42" customFormat="true" ht="18.65" hidden="false" customHeight="true" outlineLevel="0" collapsed="false">
      <c r="A116" s="52" t="s">
        <v>68</v>
      </c>
      <c r="B116" s="54" t="s">
        <v>69</v>
      </c>
      <c r="C116" s="62" t="s">
        <v>30</v>
      </c>
      <c r="D116" s="36"/>
      <c r="E116" s="36"/>
      <c r="F116" s="37" t="n">
        <f aca="false">F117+F118+F119+F120</f>
        <v>30686.06445</v>
      </c>
      <c r="G116" s="37" t="n">
        <f aca="false">G117+G118+G119+G120</f>
        <v>0</v>
      </c>
      <c r="H116" s="37" t="n">
        <f aca="false">H117+H118+H119+H120</f>
        <v>0</v>
      </c>
      <c r="I116" s="37" t="n">
        <f aca="false">I117+I118+I119+I120</f>
        <v>0</v>
      </c>
      <c r="J116" s="37" t="n">
        <f aca="false">J117+J118+J119+J120</f>
        <v>0</v>
      </c>
      <c r="K116" s="37" t="n">
        <f aca="false">K117+K118+K119+K120</f>
        <v>0</v>
      </c>
      <c r="L116" s="37" t="n">
        <f aca="false">L117+L118+L119+L120</f>
        <v>8159.39394</v>
      </c>
      <c r="M116" s="37" t="n">
        <f aca="false">M117+M118+M119+M120</f>
        <v>7815.05051</v>
      </c>
      <c r="N116" s="37" t="n">
        <f aca="false">N117+N118+N119+N120</f>
        <v>14711.62</v>
      </c>
      <c r="O116" s="37" t="n">
        <f aca="false">O117+O118+O119+O120</f>
        <v>0</v>
      </c>
      <c r="P116" s="37" t="n">
        <f aca="false">P117+P118+P119+P120</f>
        <v>0</v>
      </c>
      <c r="Q116" s="37" t="n">
        <f aca="false">Q117+Q118+Q119+Q120</f>
        <v>0</v>
      </c>
      <c r="R116" s="37" t="n">
        <f aca="false">R117+R118+R119+R120</f>
        <v>0</v>
      </c>
      <c r="T116" s="49"/>
      <c r="U116" s="49"/>
      <c r="V116" s="49"/>
      <c r="W116" s="44"/>
    </row>
    <row r="117" s="42" customFormat="true" ht="38.8" hidden="false" customHeight="true" outlineLevel="0" collapsed="false">
      <c r="A117" s="52"/>
      <c r="B117" s="54"/>
      <c r="C117" s="62" t="s">
        <v>31</v>
      </c>
      <c r="D117" s="36" t="s">
        <v>42</v>
      </c>
      <c r="E117" s="36" t="s">
        <v>43</v>
      </c>
      <c r="F117" s="37" t="n">
        <f aca="false">SUM(G117:R117)</f>
        <v>30379.2</v>
      </c>
      <c r="G117" s="37" t="n">
        <v>0</v>
      </c>
      <c r="H117" s="37" t="n">
        <v>0</v>
      </c>
      <c r="I117" s="37" t="n">
        <v>0</v>
      </c>
      <c r="J117" s="37" t="n">
        <v>0</v>
      </c>
      <c r="K117" s="37" t="n">
        <v>0</v>
      </c>
      <c r="L117" s="37" t="n">
        <v>8077.8</v>
      </c>
      <c r="M117" s="37" t="n">
        <v>7736.9</v>
      </c>
      <c r="N117" s="37" t="n">
        <v>14564.5</v>
      </c>
      <c r="O117" s="37" t="n">
        <v>0</v>
      </c>
      <c r="P117" s="37" t="n">
        <v>0</v>
      </c>
      <c r="Q117" s="37" t="n">
        <v>0</v>
      </c>
      <c r="R117" s="37" t="n">
        <v>0</v>
      </c>
      <c r="T117" s="49"/>
      <c r="U117" s="49"/>
      <c r="V117" s="49"/>
      <c r="W117" s="44"/>
    </row>
    <row r="118" s="42" customFormat="true" ht="30.55" hidden="false" customHeight="true" outlineLevel="0" collapsed="false">
      <c r="A118" s="52"/>
      <c r="B118" s="54"/>
      <c r="C118" s="62" t="s">
        <v>32</v>
      </c>
      <c r="D118" s="36" t="s">
        <v>42</v>
      </c>
      <c r="E118" s="36" t="s">
        <v>43</v>
      </c>
      <c r="F118" s="37" t="n">
        <f aca="false">SUM(G118:R118)</f>
        <v>306.86445</v>
      </c>
      <c r="G118" s="37" t="n">
        <v>0</v>
      </c>
      <c r="H118" s="37" t="n">
        <v>0</v>
      </c>
      <c r="I118" s="37" t="n">
        <v>0</v>
      </c>
      <c r="J118" s="37" t="n">
        <v>0</v>
      </c>
      <c r="K118" s="37" t="n">
        <v>0</v>
      </c>
      <c r="L118" s="37" t="n">
        <v>81.59394</v>
      </c>
      <c r="M118" s="37" t="n">
        <v>78.15051</v>
      </c>
      <c r="N118" s="37" t="n">
        <v>147.12</v>
      </c>
      <c r="O118" s="37" t="n">
        <v>0</v>
      </c>
      <c r="P118" s="37" t="n">
        <v>0</v>
      </c>
      <c r="Q118" s="37" t="n">
        <v>0</v>
      </c>
      <c r="R118" s="37" t="n">
        <v>0</v>
      </c>
      <c r="T118" s="49"/>
      <c r="U118" s="49"/>
      <c r="V118" s="49"/>
      <c r="W118" s="44"/>
    </row>
    <row r="119" s="42" customFormat="true" ht="29.85" hidden="false" customHeight="true" outlineLevel="0" collapsed="false">
      <c r="A119" s="52"/>
      <c r="B119" s="54"/>
      <c r="C119" s="62" t="s">
        <v>33</v>
      </c>
      <c r="D119" s="36"/>
      <c r="E119" s="36"/>
      <c r="F119" s="37" t="n">
        <f aca="false">SUM(G119:R119)</f>
        <v>0</v>
      </c>
      <c r="G119" s="37" t="n">
        <v>0</v>
      </c>
      <c r="H119" s="37" t="n">
        <v>0</v>
      </c>
      <c r="I119" s="37" t="n">
        <v>0</v>
      </c>
      <c r="J119" s="37" t="n">
        <v>0</v>
      </c>
      <c r="K119" s="37" t="n">
        <v>0</v>
      </c>
      <c r="L119" s="37" t="n">
        <v>0</v>
      </c>
      <c r="M119" s="37" t="n">
        <v>0</v>
      </c>
      <c r="N119" s="37" t="n">
        <v>0</v>
      </c>
      <c r="O119" s="37" t="n">
        <v>0</v>
      </c>
      <c r="P119" s="37" t="n">
        <v>0</v>
      </c>
      <c r="Q119" s="37" t="n">
        <v>0</v>
      </c>
      <c r="R119" s="37" t="n">
        <v>0</v>
      </c>
      <c r="T119" s="49"/>
      <c r="U119" s="49"/>
      <c r="V119" s="49"/>
      <c r="W119" s="44"/>
    </row>
    <row r="120" s="42" customFormat="true" ht="73.1" hidden="false" customHeight="true" outlineLevel="0" collapsed="false">
      <c r="A120" s="52"/>
      <c r="B120" s="54"/>
      <c r="C120" s="62" t="s">
        <v>36</v>
      </c>
      <c r="D120" s="36"/>
      <c r="E120" s="36"/>
      <c r="F120" s="37" t="n">
        <f aca="false">SUM(G120:R120)</f>
        <v>0</v>
      </c>
      <c r="G120" s="37" t="n">
        <v>0</v>
      </c>
      <c r="H120" s="37" t="n">
        <v>0</v>
      </c>
      <c r="I120" s="37" t="n">
        <v>0</v>
      </c>
      <c r="J120" s="37" t="n">
        <v>0</v>
      </c>
      <c r="K120" s="37" t="n">
        <v>0</v>
      </c>
      <c r="L120" s="37" t="n">
        <v>0</v>
      </c>
      <c r="M120" s="37" t="n">
        <v>0</v>
      </c>
      <c r="N120" s="37" t="n">
        <v>0</v>
      </c>
      <c r="O120" s="37" t="n">
        <v>0</v>
      </c>
      <c r="P120" s="37" t="n">
        <v>0</v>
      </c>
      <c r="Q120" s="37" t="n">
        <v>0</v>
      </c>
      <c r="R120" s="37" t="n">
        <v>0</v>
      </c>
      <c r="T120" s="49"/>
      <c r="U120" s="49"/>
      <c r="V120" s="49"/>
      <c r="W120" s="44"/>
    </row>
    <row r="121" s="42" customFormat="true" ht="20.1" hidden="false" customHeight="true" outlineLevel="0" collapsed="false">
      <c r="A121" s="64" t="s">
        <v>70</v>
      </c>
      <c r="B121" s="54" t="s">
        <v>71</v>
      </c>
      <c r="C121" s="62" t="s">
        <v>30</v>
      </c>
      <c r="D121" s="36"/>
      <c r="E121" s="36"/>
      <c r="F121" s="37" t="n">
        <f aca="false">F122+F123+F124+F125</f>
        <v>2394568.41076</v>
      </c>
      <c r="G121" s="37" t="n">
        <f aca="false">G122+G123+G124+G125</f>
        <v>0</v>
      </c>
      <c r="H121" s="37" t="n">
        <f aca="false">H122+H123+H124+H125</f>
        <v>0</v>
      </c>
      <c r="I121" s="37" t="n">
        <f aca="false">I122+I123+I124+I125</f>
        <v>0</v>
      </c>
      <c r="J121" s="37" t="n">
        <f aca="false">J122+J123+J124+J125</f>
        <v>0</v>
      </c>
      <c r="K121" s="37" t="n">
        <f aca="false">K122+K123+K124+K125</f>
        <v>0</v>
      </c>
      <c r="L121" s="37" t="n">
        <f aca="false">L122+L123+L124+L125</f>
        <v>249126.51933</v>
      </c>
      <c r="M121" s="37" t="n">
        <f aca="false">M122+M123+M124+M125</f>
        <v>0</v>
      </c>
      <c r="N121" s="37" t="n">
        <f aca="false">N122+N123+N124+N125</f>
        <v>0</v>
      </c>
      <c r="O121" s="37" t="n">
        <f aca="false">O122+O123+O124+O125</f>
        <v>848153.01943</v>
      </c>
      <c r="P121" s="37" t="n">
        <f aca="false">P122+P123+P124+P125</f>
        <v>605892.4</v>
      </c>
      <c r="Q121" s="37" t="n">
        <f aca="false">Q122+Q123+Q124+Q125</f>
        <v>691396.472</v>
      </c>
      <c r="R121" s="37" t="n">
        <f aca="false">R122+R123+R124+R125</f>
        <v>0</v>
      </c>
      <c r="T121" s="49"/>
      <c r="U121" s="49"/>
      <c r="V121" s="49"/>
      <c r="W121" s="44"/>
    </row>
    <row r="122" s="42" customFormat="true" ht="40.25" hidden="false" customHeight="true" outlineLevel="0" collapsed="false">
      <c r="A122" s="64"/>
      <c r="B122" s="54"/>
      <c r="C122" s="62" t="s">
        <v>31</v>
      </c>
      <c r="D122" s="36" t="s">
        <v>58</v>
      </c>
      <c r="E122" s="36" t="s">
        <v>43</v>
      </c>
      <c r="F122" s="37" t="n">
        <f aca="false">SUM(G122:R122)</f>
        <v>1067563</v>
      </c>
      <c r="G122" s="37" t="n">
        <v>0</v>
      </c>
      <c r="H122" s="37" t="n">
        <v>0</v>
      </c>
      <c r="I122" s="37" t="n">
        <v>0</v>
      </c>
      <c r="J122" s="37" t="n">
        <v>0</v>
      </c>
      <c r="K122" s="37" t="n">
        <v>0</v>
      </c>
      <c r="L122" s="37" t="n">
        <v>0</v>
      </c>
      <c r="M122" s="37" t="n">
        <v>0</v>
      </c>
      <c r="N122" s="37" t="n">
        <v>0</v>
      </c>
      <c r="O122" s="37" t="n">
        <v>474130.9</v>
      </c>
      <c r="P122" s="37" t="n">
        <v>231392.4</v>
      </c>
      <c r="Q122" s="37" t="n">
        <v>362039.7</v>
      </c>
      <c r="R122" s="37" t="n">
        <v>0</v>
      </c>
      <c r="T122" s="49"/>
      <c r="U122" s="49"/>
      <c r="V122" s="49"/>
      <c r="W122" s="44"/>
    </row>
    <row r="123" s="42" customFormat="true" ht="32.05" hidden="false" customHeight="true" outlineLevel="0" collapsed="false">
      <c r="A123" s="64"/>
      <c r="B123" s="54"/>
      <c r="C123" s="62" t="s">
        <v>32</v>
      </c>
      <c r="D123" s="36" t="s">
        <v>58</v>
      </c>
      <c r="E123" s="36" t="s">
        <v>43</v>
      </c>
      <c r="F123" s="37" t="n">
        <f aca="false">SUM(G123:R123)</f>
        <v>1325759.77816</v>
      </c>
      <c r="G123" s="37" t="n">
        <v>0</v>
      </c>
      <c r="H123" s="37" t="n">
        <v>0</v>
      </c>
      <c r="I123" s="37" t="n">
        <v>0</v>
      </c>
      <c r="J123" s="37" t="n">
        <v>0</v>
      </c>
      <c r="K123" s="37" t="n">
        <v>0</v>
      </c>
      <c r="L123" s="37" t="n">
        <v>247880.88673</v>
      </c>
      <c r="M123" s="37" t="n">
        <v>0</v>
      </c>
      <c r="N123" s="37" t="n">
        <v>0</v>
      </c>
      <c r="O123" s="37" t="n">
        <v>374022.11943</v>
      </c>
      <c r="P123" s="37" t="n">
        <v>374500</v>
      </c>
      <c r="Q123" s="37" t="n">
        <v>329356.772</v>
      </c>
      <c r="R123" s="37" t="n">
        <v>0</v>
      </c>
      <c r="T123" s="49"/>
      <c r="U123" s="49"/>
      <c r="V123" s="49"/>
      <c r="W123" s="44"/>
    </row>
    <row r="124" s="42" customFormat="true" ht="29.85" hidden="false" customHeight="true" outlineLevel="0" collapsed="false">
      <c r="A124" s="64"/>
      <c r="B124" s="54"/>
      <c r="C124" s="62" t="s">
        <v>33</v>
      </c>
      <c r="D124" s="36"/>
      <c r="E124" s="36"/>
      <c r="F124" s="37" t="n">
        <f aca="false">SUM(G124:R124)</f>
        <v>1245.6326</v>
      </c>
      <c r="G124" s="37" t="n">
        <v>0</v>
      </c>
      <c r="H124" s="37" t="n">
        <v>0</v>
      </c>
      <c r="I124" s="37" t="n">
        <v>0</v>
      </c>
      <c r="J124" s="37" t="n">
        <v>0</v>
      </c>
      <c r="K124" s="37" t="n">
        <v>0</v>
      </c>
      <c r="L124" s="37" t="n">
        <v>1245.6326</v>
      </c>
      <c r="M124" s="37" t="n">
        <v>0</v>
      </c>
      <c r="N124" s="37" t="n">
        <v>0</v>
      </c>
      <c r="O124" s="37" t="n">
        <v>0</v>
      </c>
      <c r="P124" s="37" t="n">
        <v>0</v>
      </c>
      <c r="Q124" s="37" t="n">
        <v>0</v>
      </c>
      <c r="R124" s="37" t="n">
        <v>0</v>
      </c>
      <c r="T124" s="49"/>
      <c r="U124" s="49"/>
      <c r="V124" s="49"/>
      <c r="W124" s="44"/>
    </row>
    <row r="125" s="42" customFormat="true" ht="78.35" hidden="false" customHeight="true" outlineLevel="0" collapsed="false">
      <c r="A125" s="64"/>
      <c r="B125" s="54"/>
      <c r="C125" s="62" t="s">
        <v>36</v>
      </c>
      <c r="D125" s="36"/>
      <c r="E125" s="36"/>
      <c r="F125" s="37" t="n">
        <f aca="false">SUM(G125:R125)</f>
        <v>0</v>
      </c>
      <c r="G125" s="37" t="n">
        <v>0</v>
      </c>
      <c r="H125" s="37" t="n">
        <v>0</v>
      </c>
      <c r="I125" s="37" t="n">
        <v>0</v>
      </c>
      <c r="J125" s="37" t="n">
        <v>0</v>
      </c>
      <c r="K125" s="37" t="n">
        <v>0</v>
      </c>
      <c r="L125" s="37" t="n">
        <v>0</v>
      </c>
      <c r="M125" s="37" t="n">
        <v>0</v>
      </c>
      <c r="N125" s="37" t="n">
        <v>0</v>
      </c>
      <c r="O125" s="37" t="n">
        <v>0</v>
      </c>
      <c r="P125" s="37" t="n">
        <v>0</v>
      </c>
      <c r="Q125" s="37" t="n">
        <v>0</v>
      </c>
      <c r="R125" s="37" t="n">
        <v>0</v>
      </c>
      <c r="T125" s="49"/>
      <c r="U125" s="49"/>
      <c r="V125" s="49"/>
      <c r="W125" s="44"/>
    </row>
    <row r="126" s="42" customFormat="true" ht="18" hidden="false" customHeight="true" outlineLevel="0" collapsed="false">
      <c r="A126" s="40" t="s">
        <v>72</v>
      </c>
      <c r="B126" s="54" t="s">
        <v>73</v>
      </c>
      <c r="C126" s="62" t="s">
        <v>30</v>
      </c>
      <c r="D126" s="36"/>
      <c r="E126" s="36"/>
      <c r="F126" s="37" t="n">
        <f aca="false">F127+F128+F129+F130</f>
        <v>0</v>
      </c>
      <c r="G126" s="37" t="n">
        <f aca="false">G127+G128+G129+G130</f>
        <v>0</v>
      </c>
      <c r="H126" s="37" t="n">
        <f aca="false">H127+H128+H129+H130</f>
        <v>0</v>
      </c>
      <c r="I126" s="37" t="n">
        <f aca="false">I127+I128+I129+I130</f>
        <v>0</v>
      </c>
      <c r="J126" s="37" t="n">
        <f aca="false">J127+J128+J129+J130</f>
        <v>0</v>
      </c>
      <c r="K126" s="37" t="n">
        <f aca="false">K127+K128+K129+K130</f>
        <v>0</v>
      </c>
      <c r="L126" s="37" t="n">
        <f aca="false">L127+L128+L129+L130</f>
        <v>0</v>
      </c>
      <c r="M126" s="37" t="n">
        <f aca="false">M127+M128+M129+M130</f>
        <v>0</v>
      </c>
      <c r="N126" s="37" t="n">
        <f aca="false">N127+N128+N129+N130</f>
        <v>0</v>
      </c>
      <c r="O126" s="37" t="n">
        <f aca="false">O127+O128+O129+O130</f>
        <v>0</v>
      </c>
      <c r="P126" s="37" t="n">
        <f aca="false">P127+P128+P129+P130</f>
        <v>0</v>
      </c>
      <c r="Q126" s="37" t="n">
        <f aca="false">Q127+Q128+Q129+Q130</f>
        <v>0</v>
      </c>
      <c r="R126" s="37" t="n">
        <f aca="false">R127+R128+R129+R130</f>
        <v>0</v>
      </c>
      <c r="T126" s="49"/>
      <c r="U126" s="49"/>
      <c r="V126" s="49"/>
      <c r="W126" s="44"/>
    </row>
    <row r="127" s="42" customFormat="true" ht="36.75" hidden="false" customHeight="true" outlineLevel="0" collapsed="false">
      <c r="A127" s="40"/>
      <c r="B127" s="54"/>
      <c r="C127" s="62" t="s">
        <v>31</v>
      </c>
      <c r="D127" s="36" t="s">
        <v>58</v>
      </c>
      <c r="E127" s="36" t="s">
        <v>43</v>
      </c>
      <c r="F127" s="37" t="n">
        <f aca="false">SUM(G127:R127)</f>
        <v>0</v>
      </c>
      <c r="G127" s="37" t="n">
        <v>0</v>
      </c>
      <c r="H127" s="37" t="n">
        <v>0</v>
      </c>
      <c r="I127" s="37" t="n">
        <v>0</v>
      </c>
      <c r="J127" s="37" t="n">
        <v>0</v>
      </c>
      <c r="K127" s="37" t="n">
        <v>0</v>
      </c>
      <c r="L127" s="37" t="n">
        <v>0</v>
      </c>
      <c r="M127" s="37" t="n">
        <v>0</v>
      </c>
      <c r="N127" s="37" t="n">
        <v>0</v>
      </c>
      <c r="O127" s="37" t="n">
        <v>0</v>
      </c>
      <c r="P127" s="37" t="n">
        <v>0</v>
      </c>
      <c r="Q127" s="37" t="n">
        <v>0</v>
      </c>
      <c r="R127" s="37" t="n">
        <v>0</v>
      </c>
      <c r="T127" s="49"/>
      <c r="U127" s="49"/>
      <c r="V127" s="49"/>
      <c r="W127" s="44"/>
    </row>
    <row r="128" s="42" customFormat="true" ht="27.6" hidden="false" customHeight="true" outlineLevel="0" collapsed="false">
      <c r="A128" s="40"/>
      <c r="B128" s="54"/>
      <c r="C128" s="62" t="s">
        <v>32</v>
      </c>
      <c r="D128" s="36" t="s">
        <v>58</v>
      </c>
      <c r="E128" s="36" t="s">
        <v>43</v>
      </c>
      <c r="F128" s="37" t="n">
        <f aca="false">SUM(G128:R128)</f>
        <v>0</v>
      </c>
      <c r="G128" s="37" t="n">
        <v>0</v>
      </c>
      <c r="H128" s="37" t="n">
        <v>0</v>
      </c>
      <c r="I128" s="37" t="n">
        <v>0</v>
      </c>
      <c r="J128" s="37" t="n">
        <v>0</v>
      </c>
      <c r="K128" s="37" t="n">
        <v>0</v>
      </c>
      <c r="L128" s="37" t="n">
        <v>0</v>
      </c>
      <c r="M128" s="37" t="n">
        <v>0</v>
      </c>
      <c r="N128" s="37" t="n">
        <v>0</v>
      </c>
      <c r="O128" s="37" t="n">
        <v>0</v>
      </c>
      <c r="P128" s="37" t="n">
        <v>0</v>
      </c>
      <c r="Q128" s="37" t="n">
        <v>0</v>
      </c>
      <c r="R128" s="37" t="n">
        <v>0</v>
      </c>
      <c r="T128" s="49"/>
      <c r="U128" s="49"/>
      <c r="V128" s="49"/>
      <c r="W128" s="44"/>
    </row>
    <row r="129" s="42" customFormat="true" ht="26.1" hidden="false" customHeight="true" outlineLevel="0" collapsed="false">
      <c r="A129" s="40"/>
      <c r="B129" s="54"/>
      <c r="C129" s="62" t="s">
        <v>33</v>
      </c>
      <c r="D129" s="36"/>
      <c r="E129" s="36"/>
      <c r="F129" s="37" t="n">
        <f aca="false">SUM(G129:R129)</f>
        <v>0</v>
      </c>
      <c r="G129" s="37" t="n">
        <v>0</v>
      </c>
      <c r="H129" s="37" t="n">
        <v>0</v>
      </c>
      <c r="I129" s="37" t="n">
        <v>0</v>
      </c>
      <c r="J129" s="37" t="n">
        <v>0</v>
      </c>
      <c r="K129" s="37" t="n">
        <v>0</v>
      </c>
      <c r="L129" s="37" t="n">
        <v>0</v>
      </c>
      <c r="M129" s="37" t="n">
        <v>0</v>
      </c>
      <c r="N129" s="37" t="n">
        <v>0</v>
      </c>
      <c r="O129" s="37" t="n">
        <v>0</v>
      </c>
      <c r="P129" s="37" t="n">
        <v>0</v>
      </c>
      <c r="Q129" s="37" t="n">
        <v>0</v>
      </c>
      <c r="R129" s="37" t="n">
        <v>0</v>
      </c>
      <c r="T129" s="49"/>
      <c r="U129" s="49"/>
      <c r="V129" s="49"/>
      <c r="W129" s="44"/>
    </row>
    <row r="130" s="42" customFormat="true" ht="72.75" hidden="false" customHeight="true" outlineLevel="0" collapsed="false">
      <c r="A130" s="40"/>
      <c r="B130" s="54"/>
      <c r="C130" s="62" t="s">
        <v>36</v>
      </c>
      <c r="D130" s="36"/>
      <c r="E130" s="36"/>
      <c r="F130" s="37" t="n">
        <f aca="false">SUM(G130:R130)</f>
        <v>0</v>
      </c>
      <c r="G130" s="37" t="n">
        <v>0</v>
      </c>
      <c r="H130" s="37" t="n">
        <v>0</v>
      </c>
      <c r="I130" s="37" t="n">
        <v>0</v>
      </c>
      <c r="J130" s="37" t="n">
        <v>0</v>
      </c>
      <c r="K130" s="37" t="n">
        <v>0</v>
      </c>
      <c r="L130" s="37" t="n">
        <v>0</v>
      </c>
      <c r="M130" s="37" t="n">
        <v>0</v>
      </c>
      <c r="N130" s="37" t="n">
        <v>0</v>
      </c>
      <c r="O130" s="37" t="n">
        <v>0</v>
      </c>
      <c r="P130" s="37" t="n">
        <v>0</v>
      </c>
      <c r="Q130" s="37" t="n">
        <v>0</v>
      </c>
      <c r="R130" s="37" t="n">
        <v>0</v>
      </c>
      <c r="T130" s="49"/>
      <c r="U130" s="49"/>
      <c r="V130" s="49"/>
      <c r="W130" s="44"/>
    </row>
    <row r="131" s="42" customFormat="true" ht="16.2" hidden="false" customHeight="true" outlineLevel="0" collapsed="false">
      <c r="A131" s="40" t="s">
        <v>74</v>
      </c>
      <c r="B131" s="54" t="s">
        <v>75</v>
      </c>
      <c r="C131" s="62" t="s">
        <v>30</v>
      </c>
      <c r="D131" s="36"/>
      <c r="E131" s="36"/>
      <c r="F131" s="37" t="n">
        <f aca="false">F132+F133+F134+F135</f>
        <v>1238915.09421</v>
      </c>
      <c r="G131" s="37" t="n">
        <f aca="false">G132+G133+G134+G135</f>
        <v>0</v>
      </c>
      <c r="H131" s="37" t="n">
        <f aca="false">H132+H133+H134+H135</f>
        <v>0</v>
      </c>
      <c r="I131" s="37" t="n">
        <f aca="false">I132+I133+I134+I135</f>
        <v>0</v>
      </c>
      <c r="J131" s="37" t="n">
        <f aca="false">J132+J133+J134+J135</f>
        <v>0</v>
      </c>
      <c r="K131" s="37" t="n">
        <f aca="false">K132+K133+K134+K135</f>
        <v>0</v>
      </c>
      <c r="L131" s="37" t="n">
        <f aca="false">L132+L133+L134+L135</f>
        <v>0</v>
      </c>
      <c r="M131" s="37" t="n">
        <f aca="false">M132+M133+M134+M135</f>
        <v>0</v>
      </c>
      <c r="N131" s="37" t="n">
        <f aca="false">N132+N133+N134+N135</f>
        <v>495250.62921</v>
      </c>
      <c r="O131" s="37" t="n">
        <f aca="false">O132+O133+O134+O135</f>
        <v>281155.447</v>
      </c>
      <c r="P131" s="37" t="n">
        <f aca="false">P132+P133+P134+P135</f>
        <v>462509.018</v>
      </c>
      <c r="Q131" s="37" t="n">
        <f aca="false">Q132+Q133+Q134+Q135</f>
        <v>0</v>
      </c>
      <c r="R131" s="37" t="n">
        <f aca="false">R132+R133+R134+R135</f>
        <v>0</v>
      </c>
      <c r="T131" s="49"/>
      <c r="U131" s="49"/>
      <c r="V131" s="49"/>
      <c r="W131" s="44"/>
    </row>
    <row r="132" s="42" customFormat="true" ht="38.25" hidden="false" customHeight="true" outlineLevel="0" collapsed="false">
      <c r="A132" s="40"/>
      <c r="B132" s="54"/>
      <c r="C132" s="62" t="s">
        <v>31</v>
      </c>
      <c r="D132" s="36" t="s">
        <v>58</v>
      </c>
      <c r="E132" s="36" t="s">
        <v>43</v>
      </c>
      <c r="F132" s="37" t="n">
        <f aca="false">SUM(G132:R132)</f>
        <v>483275.2</v>
      </c>
      <c r="G132" s="37" t="n">
        <v>0</v>
      </c>
      <c r="H132" s="37" t="n">
        <v>0</v>
      </c>
      <c r="I132" s="37" t="n">
        <v>0</v>
      </c>
      <c r="J132" s="37" t="n">
        <v>0</v>
      </c>
      <c r="K132" s="37" t="n">
        <v>0</v>
      </c>
      <c r="L132" s="37" t="n">
        <v>0</v>
      </c>
      <c r="M132" s="37" t="n">
        <v>0</v>
      </c>
      <c r="N132" s="37" t="n">
        <v>301915.5</v>
      </c>
      <c r="O132" s="37" t="n">
        <v>92190.3</v>
      </c>
      <c r="P132" s="37" t="n">
        <v>89169.4</v>
      </c>
      <c r="Q132" s="37" t="n">
        <v>0</v>
      </c>
      <c r="R132" s="37" t="n">
        <v>0</v>
      </c>
      <c r="T132" s="49"/>
      <c r="U132" s="49"/>
      <c r="V132" s="49"/>
      <c r="W132" s="44"/>
    </row>
    <row r="133" s="42" customFormat="true" ht="28.35" hidden="false" customHeight="true" outlineLevel="0" collapsed="false">
      <c r="A133" s="40"/>
      <c r="B133" s="54"/>
      <c r="C133" s="62" t="s">
        <v>32</v>
      </c>
      <c r="D133" s="36" t="s">
        <v>58</v>
      </c>
      <c r="E133" s="36" t="s">
        <v>43</v>
      </c>
      <c r="F133" s="37" t="n">
        <f aca="false">SUM(G133:R133)</f>
        <v>755639.89421</v>
      </c>
      <c r="G133" s="37" t="n">
        <v>0</v>
      </c>
      <c r="H133" s="37" t="n">
        <v>0</v>
      </c>
      <c r="I133" s="37" t="n">
        <v>0</v>
      </c>
      <c r="J133" s="37" t="n">
        <v>0</v>
      </c>
      <c r="K133" s="37" t="n">
        <v>0</v>
      </c>
      <c r="L133" s="37" t="n">
        <v>0</v>
      </c>
      <c r="M133" s="37" t="n">
        <v>0</v>
      </c>
      <c r="N133" s="37" t="n">
        <v>193335.12921</v>
      </c>
      <c r="O133" s="37" t="n">
        <v>188965.147</v>
      </c>
      <c r="P133" s="37" t="n">
        <v>373339.618</v>
      </c>
      <c r="Q133" s="37" t="n">
        <v>0</v>
      </c>
      <c r="R133" s="37" t="n">
        <v>0</v>
      </c>
      <c r="T133" s="49"/>
      <c r="U133" s="49"/>
      <c r="V133" s="49"/>
      <c r="W133" s="44"/>
    </row>
    <row r="134" s="42" customFormat="true" ht="29.1" hidden="false" customHeight="true" outlineLevel="0" collapsed="false">
      <c r="A134" s="40"/>
      <c r="B134" s="54"/>
      <c r="C134" s="62" t="s">
        <v>33</v>
      </c>
      <c r="D134" s="36"/>
      <c r="E134" s="36"/>
      <c r="F134" s="37" t="n">
        <f aca="false">SUM(G134:R134)</f>
        <v>0</v>
      </c>
      <c r="G134" s="37" t="n">
        <v>0</v>
      </c>
      <c r="H134" s="37" t="n">
        <v>0</v>
      </c>
      <c r="I134" s="37" t="n">
        <v>0</v>
      </c>
      <c r="J134" s="37" t="n">
        <v>0</v>
      </c>
      <c r="K134" s="37" t="n">
        <v>0</v>
      </c>
      <c r="L134" s="37" t="n">
        <v>0</v>
      </c>
      <c r="M134" s="37" t="n">
        <v>0</v>
      </c>
      <c r="N134" s="37" t="n">
        <v>0</v>
      </c>
      <c r="O134" s="37" t="n">
        <v>0</v>
      </c>
      <c r="P134" s="37" t="n">
        <v>0</v>
      </c>
      <c r="Q134" s="37" t="n">
        <v>0</v>
      </c>
      <c r="R134" s="37" t="n">
        <v>0</v>
      </c>
      <c r="T134" s="49"/>
      <c r="U134" s="49"/>
      <c r="V134" s="49"/>
      <c r="W134" s="44"/>
    </row>
    <row r="135" s="42" customFormat="true" ht="74.6" hidden="false" customHeight="true" outlineLevel="0" collapsed="false">
      <c r="A135" s="40"/>
      <c r="B135" s="54"/>
      <c r="C135" s="62" t="s">
        <v>36</v>
      </c>
      <c r="D135" s="36"/>
      <c r="E135" s="36"/>
      <c r="F135" s="37" t="n">
        <f aca="false">SUM(G135:R135)</f>
        <v>0</v>
      </c>
      <c r="G135" s="37" t="n">
        <v>0</v>
      </c>
      <c r="H135" s="37" t="n">
        <v>0</v>
      </c>
      <c r="I135" s="37" t="n">
        <v>0</v>
      </c>
      <c r="J135" s="37" t="n">
        <v>0</v>
      </c>
      <c r="K135" s="37" t="n">
        <v>0</v>
      </c>
      <c r="L135" s="37" t="n">
        <v>0</v>
      </c>
      <c r="M135" s="37" t="n">
        <v>0</v>
      </c>
      <c r="N135" s="37" t="n">
        <v>0</v>
      </c>
      <c r="O135" s="37" t="n">
        <v>0</v>
      </c>
      <c r="P135" s="37" t="n">
        <v>0</v>
      </c>
      <c r="Q135" s="37" t="n">
        <v>0</v>
      </c>
      <c r="R135" s="37" t="n">
        <v>0</v>
      </c>
      <c r="T135" s="49"/>
      <c r="U135" s="49"/>
      <c r="V135" s="49"/>
      <c r="W135" s="44"/>
    </row>
    <row r="136" s="42" customFormat="true" ht="14.35" hidden="false" customHeight="true" outlineLevel="0" collapsed="false">
      <c r="A136" s="40" t="s">
        <v>76</v>
      </c>
      <c r="B136" s="54" t="s">
        <v>77</v>
      </c>
      <c r="C136" s="62" t="s">
        <v>30</v>
      </c>
      <c r="D136" s="36"/>
      <c r="E136" s="36"/>
      <c r="F136" s="37" t="n">
        <f aca="false">F137+F138+F139+F140</f>
        <v>0</v>
      </c>
      <c r="G136" s="37" t="n">
        <f aca="false">G137+G138+G139+G140</f>
        <v>0</v>
      </c>
      <c r="H136" s="37" t="n">
        <f aca="false">H137+H138+H139+H140</f>
        <v>0</v>
      </c>
      <c r="I136" s="37" t="n">
        <f aca="false">I137+I138+I139+I140</f>
        <v>0</v>
      </c>
      <c r="J136" s="37" t="n">
        <f aca="false">J137+J138+J139+J140</f>
        <v>0</v>
      </c>
      <c r="K136" s="37" t="n">
        <f aca="false">K137+K138+K139+K140</f>
        <v>0</v>
      </c>
      <c r="L136" s="37" t="n">
        <f aca="false">L137+L138+L139+L140</f>
        <v>0</v>
      </c>
      <c r="M136" s="37" t="n">
        <f aca="false">M137+M138+M139+M140</f>
        <v>0</v>
      </c>
      <c r="N136" s="37" t="n">
        <f aca="false">N137+N138+N139+N140</f>
        <v>0</v>
      </c>
      <c r="O136" s="37" t="n">
        <f aca="false">O137+O138+O139+O140</f>
        <v>0</v>
      </c>
      <c r="P136" s="37" t="n">
        <f aca="false">P137+P138+P139+P140</f>
        <v>0</v>
      </c>
      <c r="Q136" s="37" t="n">
        <f aca="false">Q137+Q138+Q139+Q140</f>
        <v>0</v>
      </c>
      <c r="R136" s="37" t="n">
        <f aca="false">R137+R138+R139+R140</f>
        <v>0</v>
      </c>
      <c r="T136" s="49"/>
      <c r="U136" s="49"/>
      <c r="V136" s="49"/>
      <c r="W136" s="44"/>
    </row>
    <row r="137" s="42" customFormat="true" ht="39.55" hidden="false" customHeight="true" outlineLevel="0" collapsed="false">
      <c r="A137" s="40"/>
      <c r="B137" s="54"/>
      <c r="C137" s="62" t="s">
        <v>31</v>
      </c>
      <c r="D137" s="36" t="s">
        <v>58</v>
      </c>
      <c r="E137" s="36" t="s">
        <v>43</v>
      </c>
      <c r="F137" s="37" t="n">
        <f aca="false">SUM(G137:R137)</f>
        <v>0</v>
      </c>
      <c r="G137" s="37" t="n">
        <v>0</v>
      </c>
      <c r="H137" s="37" t="n">
        <v>0</v>
      </c>
      <c r="I137" s="37" t="n">
        <v>0</v>
      </c>
      <c r="J137" s="37" t="n">
        <v>0</v>
      </c>
      <c r="K137" s="37" t="n">
        <v>0</v>
      </c>
      <c r="L137" s="37" t="n">
        <v>0</v>
      </c>
      <c r="M137" s="37" t="n">
        <v>0</v>
      </c>
      <c r="N137" s="37" t="n">
        <v>0</v>
      </c>
      <c r="O137" s="37" t="n">
        <v>0</v>
      </c>
      <c r="P137" s="37" t="n">
        <v>0</v>
      </c>
      <c r="Q137" s="37" t="n">
        <v>0</v>
      </c>
      <c r="R137" s="37" t="n">
        <v>0</v>
      </c>
      <c r="T137" s="49"/>
      <c r="U137" s="49"/>
      <c r="V137" s="49"/>
      <c r="W137" s="44"/>
    </row>
    <row r="138" s="42" customFormat="true" ht="29.1" hidden="false" customHeight="true" outlineLevel="0" collapsed="false">
      <c r="A138" s="40"/>
      <c r="B138" s="54"/>
      <c r="C138" s="62" t="s">
        <v>32</v>
      </c>
      <c r="D138" s="36" t="s">
        <v>58</v>
      </c>
      <c r="E138" s="36" t="s">
        <v>43</v>
      </c>
      <c r="F138" s="37" t="n">
        <f aca="false">SUM(G138:R138)</f>
        <v>0</v>
      </c>
      <c r="G138" s="37" t="n">
        <v>0</v>
      </c>
      <c r="H138" s="37" t="n">
        <v>0</v>
      </c>
      <c r="I138" s="37" t="n">
        <v>0</v>
      </c>
      <c r="J138" s="37" t="n">
        <v>0</v>
      </c>
      <c r="K138" s="37" t="n">
        <v>0</v>
      </c>
      <c r="L138" s="37" t="n">
        <v>0</v>
      </c>
      <c r="M138" s="37" t="n">
        <v>0</v>
      </c>
      <c r="N138" s="37" t="n">
        <v>0</v>
      </c>
      <c r="O138" s="37" t="n">
        <v>0</v>
      </c>
      <c r="P138" s="37" t="n">
        <v>0</v>
      </c>
      <c r="Q138" s="37" t="n">
        <v>0</v>
      </c>
      <c r="R138" s="37" t="n">
        <v>0</v>
      </c>
      <c r="T138" s="49"/>
      <c r="U138" s="49"/>
      <c r="V138" s="49"/>
      <c r="W138" s="44"/>
    </row>
    <row r="139" s="42" customFormat="true" ht="28.35" hidden="false" customHeight="true" outlineLevel="0" collapsed="false">
      <c r="A139" s="40"/>
      <c r="B139" s="54"/>
      <c r="C139" s="62" t="s">
        <v>33</v>
      </c>
      <c r="D139" s="36"/>
      <c r="E139" s="36"/>
      <c r="F139" s="37" t="n">
        <f aca="false">SUM(G139:R139)</f>
        <v>0</v>
      </c>
      <c r="G139" s="37" t="n">
        <v>0</v>
      </c>
      <c r="H139" s="37" t="n">
        <v>0</v>
      </c>
      <c r="I139" s="37" t="n">
        <v>0</v>
      </c>
      <c r="J139" s="37" t="n">
        <v>0</v>
      </c>
      <c r="K139" s="37" t="n">
        <v>0</v>
      </c>
      <c r="L139" s="37" t="n">
        <v>0</v>
      </c>
      <c r="M139" s="37" t="n">
        <v>0</v>
      </c>
      <c r="N139" s="37" t="n">
        <v>0</v>
      </c>
      <c r="O139" s="37" t="n">
        <v>0</v>
      </c>
      <c r="P139" s="37" t="n">
        <v>0</v>
      </c>
      <c r="Q139" s="37" t="n">
        <v>0</v>
      </c>
      <c r="R139" s="37" t="n">
        <v>0</v>
      </c>
      <c r="T139" s="49"/>
      <c r="U139" s="49"/>
      <c r="V139" s="49"/>
      <c r="W139" s="44"/>
    </row>
    <row r="140" s="42" customFormat="true" ht="74.25" hidden="false" customHeight="true" outlineLevel="0" collapsed="false">
      <c r="A140" s="40"/>
      <c r="B140" s="54"/>
      <c r="C140" s="62" t="s">
        <v>36</v>
      </c>
      <c r="D140" s="36"/>
      <c r="E140" s="36"/>
      <c r="F140" s="37" t="n">
        <f aca="false">SUM(G140:R140)</f>
        <v>0</v>
      </c>
      <c r="G140" s="37" t="n">
        <v>0</v>
      </c>
      <c r="H140" s="37" t="n">
        <v>0</v>
      </c>
      <c r="I140" s="37" t="n">
        <v>0</v>
      </c>
      <c r="J140" s="37" t="n">
        <v>0</v>
      </c>
      <c r="K140" s="37" t="n">
        <v>0</v>
      </c>
      <c r="L140" s="37" t="n">
        <v>0</v>
      </c>
      <c r="M140" s="37" t="n">
        <v>0</v>
      </c>
      <c r="N140" s="37" t="n">
        <v>0</v>
      </c>
      <c r="O140" s="37" t="n">
        <v>0</v>
      </c>
      <c r="P140" s="37" t="n">
        <v>0</v>
      </c>
      <c r="Q140" s="37" t="n">
        <v>0</v>
      </c>
      <c r="R140" s="37" t="n">
        <v>0</v>
      </c>
      <c r="T140" s="49"/>
      <c r="U140" s="49"/>
      <c r="V140" s="49"/>
      <c r="W140" s="44"/>
    </row>
    <row r="141" s="42" customFormat="true" ht="13.8" hidden="false" customHeight="true" outlineLevel="0" collapsed="false">
      <c r="A141" s="40" t="s">
        <v>78</v>
      </c>
      <c r="B141" s="54" t="s">
        <v>79</v>
      </c>
      <c r="C141" s="62" t="s">
        <v>30</v>
      </c>
      <c r="D141" s="36"/>
      <c r="E141" s="36"/>
      <c r="F141" s="37" t="n">
        <f aca="false">F142+F143+F144+F145</f>
        <v>11024.95</v>
      </c>
      <c r="G141" s="37" t="n">
        <f aca="false">G142+G143+G144+G145</f>
        <v>0</v>
      </c>
      <c r="H141" s="37" t="n">
        <f aca="false">H142+H143+H144+H145</f>
        <v>0</v>
      </c>
      <c r="I141" s="37" t="n">
        <f aca="false">I142+I143+I144+I145</f>
        <v>0</v>
      </c>
      <c r="J141" s="37" t="n">
        <f aca="false">J142+J143+J144+J145</f>
        <v>0</v>
      </c>
      <c r="K141" s="37" t="n">
        <f aca="false">K142+K143+K144+K145</f>
        <v>0</v>
      </c>
      <c r="L141" s="37" t="n">
        <f aca="false">L142+L143+L144+L145</f>
        <v>0</v>
      </c>
      <c r="M141" s="37" t="n">
        <f aca="false">M142+M143+M144+M145</f>
        <v>0</v>
      </c>
      <c r="N141" s="37" t="n">
        <f aca="false">N142+N143+N144+N145</f>
        <v>11024.95</v>
      </c>
      <c r="O141" s="37" t="n">
        <f aca="false">O142+O143+O144+O145</f>
        <v>0</v>
      </c>
      <c r="P141" s="37" t="n">
        <f aca="false">P142+P143+P144+P145</f>
        <v>0</v>
      </c>
      <c r="Q141" s="37" t="n">
        <f aca="false">Q142+Q143+Q144+Q145</f>
        <v>0</v>
      </c>
      <c r="R141" s="37" t="n">
        <f aca="false">R142+R143+R144+R145</f>
        <v>0</v>
      </c>
      <c r="T141" s="49"/>
      <c r="U141" s="49"/>
      <c r="V141" s="49"/>
      <c r="W141" s="44"/>
    </row>
    <row r="142" s="42" customFormat="true" ht="39.55" hidden="false" customHeight="true" outlineLevel="0" collapsed="false">
      <c r="A142" s="40"/>
      <c r="B142" s="54"/>
      <c r="C142" s="62" t="s">
        <v>31</v>
      </c>
      <c r="D142" s="36" t="s">
        <v>42</v>
      </c>
      <c r="E142" s="36" t="s">
        <v>43</v>
      </c>
      <c r="F142" s="37" t="n">
        <f aca="false">SUM(G142:R142)</f>
        <v>10914.7</v>
      </c>
      <c r="G142" s="37" t="n">
        <v>0</v>
      </c>
      <c r="H142" s="37" t="n">
        <v>0</v>
      </c>
      <c r="I142" s="37" t="n">
        <v>0</v>
      </c>
      <c r="J142" s="37" t="n">
        <v>0</v>
      </c>
      <c r="K142" s="37" t="n">
        <v>0</v>
      </c>
      <c r="L142" s="37" t="n">
        <v>0</v>
      </c>
      <c r="M142" s="37" t="n">
        <v>0</v>
      </c>
      <c r="N142" s="37" t="n">
        <v>10914.7</v>
      </c>
      <c r="O142" s="37" t="n">
        <v>0</v>
      </c>
      <c r="P142" s="37" t="n">
        <v>0</v>
      </c>
      <c r="Q142" s="37" t="n">
        <v>0</v>
      </c>
      <c r="R142" s="37" t="n">
        <v>0</v>
      </c>
      <c r="T142" s="49"/>
      <c r="U142" s="49"/>
      <c r="V142" s="49"/>
      <c r="W142" s="44"/>
    </row>
    <row r="143" s="42" customFormat="true" ht="26.1" hidden="false" customHeight="true" outlineLevel="0" collapsed="false">
      <c r="A143" s="40"/>
      <c r="B143" s="54"/>
      <c r="C143" s="62" t="s">
        <v>32</v>
      </c>
      <c r="D143" s="36" t="s">
        <v>42</v>
      </c>
      <c r="E143" s="36" t="s">
        <v>43</v>
      </c>
      <c r="F143" s="37" t="n">
        <f aca="false">SUM(G143:R143)</f>
        <v>110.25</v>
      </c>
      <c r="G143" s="37" t="n">
        <v>0</v>
      </c>
      <c r="H143" s="37" t="n">
        <v>0</v>
      </c>
      <c r="I143" s="37" t="n">
        <v>0</v>
      </c>
      <c r="J143" s="37" t="n">
        <v>0</v>
      </c>
      <c r="K143" s="37" t="n">
        <v>0</v>
      </c>
      <c r="L143" s="37" t="n">
        <v>0</v>
      </c>
      <c r="M143" s="37" t="n">
        <v>0</v>
      </c>
      <c r="N143" s="37" t="n">
        <v>110.25</v>
      </c>
      <c r="O143" s="37" t="n">
        <v>0</v>
      </c>
      <c r="P143" s="37" t="n">
        <v>0</v>
      </c>
      <c r="Q143" s="37" t="n">
        <v>0</v>
      </c>
      <c r="R143" s="37" t="n">
        <v>0</v>
      </c>
      <c r="T143" s="49"/>
      <c r="U143" s="49"/>
      <c r="V143" s="49"/>
      <c r="W143" s="44"/>
    </row>
    <row r="144" s="42" customFormat="true" ht="27.6" hidden="false" customHeight="true" outlineLevel="0" collapsed="false">
      <c r="A144" s="40"/>
      <c r="B144" s="54"/>
      <c r="C144" s="62" t="s">
        <v>33</v>
      </c>
      <c r="D144" s="36"/>
      <c r="E144" s="36"/>
      <c r="F144" s="37" t="n">
        <f aca="false">SUM(G144:R144)</f>
        <v>0</v>
      </c>
      <c r="G144" s="37" t="n">
        <v>0</v>
      </c>
      <c r="H144" s="37" t="n">
        <v>0</v>
      </c>
      <c r="I144" s="37" t="n">
        <v>0</v>
      </c>
      <c r="J144" s="37" t="n">
        <v>0</v>
      </c>
      <c r="K144" s="37" t="n">
        <v>0</v>
      </c>
      <c r="L144" s="37" t="n">
        <v>0</v>
      </c>
      <c r="M144" s="37" t="n">
        <v>0</v>
      </c>
      <c r="N144" s="37" t="n">
        <v>0</v>
      </c>
      <c r="O144" s="37" t="n">
        <v>0</v>
      </c>
      <c r="P144" s="37" t="n">
        <v>0</v>
      </c>
      <c r="Q144" s="37" t="n">
        <v>0</v>
      </c>
      <c r="R144" s="37" t="n">
        <v>0</v>
      </c>
      <c r="T144" s="49"/>
      <c r="U144" s="49"/>
      <c r="V144" s="49"/>
      <c r="W144" s="44"/>
    </row>
    <row r="145" s="42" customFormat="true" ht="76.85" hidden="false" customHeight="true" outlineLevel="0" collapsed="false">
      <c r="A145" s="40"/>
      <c r="B145" s="54"/>
      <c r="C145" s="62" t="s">
        <v>36</v>
      </c>
      <c r="D145" s="36"/>
      <c r="E145" s="36"/>
      <c r="F145" s="37" t="n">
        <f aca="false">SUM(G145:R145)</f>
        <v>0</v>
      </c>
      <c r="G145" s="37" t="n">
        <v>0</v>
      </c>
      <c r="H145" s="37" t="n">
        <v>0</v>
      </c>
      <c r="I145" s="37" t="n">
        <v>0</v>
      </c>
      <c r="J145" s="37" t="n">
        <v>0</v>
      </c>
      <c r="K145" s="37" t="n">
        <v>0</v>
      </c>
      <c r="L145" s="37" t="n">
        <v>0</v>
      </c>
      <c r="M145" s="37" t="n">
        <v>0</v>
      </c>
      <c r="N145" s="37" t="n">
        <v>0</v>
      </c>
      <c r="O145" s="37" t="n">
        <v>0</v>
      </c>
      <c r="P145" s="37" t="n">
        <v>0</v>
      </c>
      <c r="Q145" s="37" t="n">
        <v>0</v>
      </c>
      <c r="R145" s="37" t="n">
        <v>0</v>
      </c>
      <c r="T145" s="49"/>
      <c r="U145" s="49"/>
      <c r="V145" s="49"/>
      <c r="W145" s="44"/>
    </row>
    <row r="146" s="42" customFormat="true" ht="18" hidden="false" customHeight="true" outlineLevel="0" collapsed="false">
      <c r="A146" s="40" t="s">
        <v>80</v>
      </c>
      <c r="B146" s="54" t="s">
        <v>81</v>
      </c>
      <c r="C146" s="62" t="s">
        <v>30</v>
      </c>
      <c r="D146" s="36"/>
      <c r="E146" s="36"/>
      <c r="F146" s="37" t="n">
        <f aca="false">F147+F148+F149+F150</f>
        <v>42693.101727</v>
      </c>
      <c r="G146" s="37" t="n">
        <f aca="false">G147+G148+G149+G150</f>
        <v>0</v>
      </c>
      <c r="H146" s="37" t="n">
        <f aca="false">H147+H148+H149+H150</f>
        <v>0</v>
      </c>
      <c r="I146" s="37" t="n">
        <f aca="false">I147+I148+I149+I150</f>
        <v>0</v>
      </c>
      <c r="J146" s="37" t="n">
        <f aca="false">J147+J148+J149+J150</f>
        <v>0</v>
      </c>
      <c r="K146" s="37" t="n">
        <f aca="false">K147+K148+K149+K150</f>
        <v>0</v>
      </c>
      <c r="L146" s="37" t="n">
        <f aca="false">L147+L148+L149+L150</f>
        <v>0</v>
      </c>
      <c r="M146" s="37" t="n">
        <f aca="false">M147+M148+M149+M150</f>
        <v>0</v>
      </c>
      <c r="N146" s="37" t="n">
        <f aca="false">N147+N148+N149+N150</f>
        <v>0</v>
      </c>
      <c r="O146" s="37" t="n">
        <f aca="false">O147+O148+O149+O150</f>
        <v>0</v>
      </c>
      <c r="P146" s="37" t="n">
        <f aca="false">P147+P148+P149+P150</f>
        <v>21572.798697</v>
      </c>
      <c r="Q146" s="37" t="n">
        <f aca="false">Q147+Q148+Q149+Q150</f>
        <v>21120.30303</v>
      </c>
      <c r="R146" s="37" t="n">
        <f aca="false">R147+R148+R149+R150</f>
        <v>0</v>
      </c>
      <c r="T146" s="49"/>
      <c r="U146" s="49"/>
      <c r="V146" s="49"/>
      <c r="W146" s="44"/>
    </row>
    <row r="147" s="42" customFormat="true" ht="38.8" hidden="false" customHeight="true" outlineLevel="0" collapsed="false">
      <c r="A147" s="40"/>
      <c r="B147" s="54"/>
      <c r="C147" s="62" t="s">
        <v>31</v>
      </c>
      <c r="D147" s="36" t="s">
        <v>42</v>
      </c>
      <c r="E147" s="36" t="s">
        <v>43</v>
      </c>
      <c r="F147" s="37" t="n">
        <f aca="false">SUM(G147:R147)</f>
        <v>42052.6</v>
      </c>
      <c r="G147" s="37" t="n">
        <v>0</v>
      </c>
      <c r="H147" s="37" t="n">
        <v>0</v>
      </c>
      <c r="I147" s="37" t="n">
        <v>0</v>
      </c>
      <c r="J147" s="37" t="n">
        <v>0</v>
      </c>
      <c r="K147" s="37" t="n">
        <v>0</v>
      </c>
      <c r="L147" s="37" t="n">
        <v>0</v>
      </c>
      <c r="M147" s="37" t="n">
        <v>0</v>
      </c>
      <c r="N147" s="37" t="n">
        <v>0</v>
      </c>
      <c r="O147" s="37" t="n">
        <v>0</v>
      </c>
      <c r="P147" s="37" t="n">
        <v>21143.5</v>
      </c>
      <c r="Q147" s="37" t="n">
        <v>20909.1</v>
      </c>
      <c r="R147" s="37" t="n">
        <v>0</v>
      </c>
      <c r="T147" s="49"/>
      <c r="U147" s="49"/>
      <c r="V147" s="49"/>
      <c r="W147" s="44"/>
    </row>
    <row r="148" s="42" customFormat="true" ht="27.6" hidden="false" customHeight="true" outlineLevel="0" collapsed="false">
      <c r="A148" s="40"/>
      <c r="B148" s="54"/>
      <c r="C148" s="62" t="s">
        <v>32</v>
      </c>
      <c r="D148" s="36" t="s">
        <v>42</v>
      </c>
      <c r="E148" s="36" t="s">
        <v>43</v>
      </c>
      <c r="F148" s="37" t="n">
        <f aca="false">SUM(G148:R148)</f>
        <v>424.77374</v>
      </c>
      <c r="G148" s="37" t="n">
        <v>0</v>
      </c>
      <c r="H148" s="37" t="n">
        <v>0</v>
      </c>
      <c r="I148" s="37" t="n">
        <v>0</v>
      </c>
      <c r="J148" s="37" t="n">
        <v>0</v>
      </c>
      <c r="K148" s="37" t="n">
        <v>0</v>
      </c>
      <c r="L148" s="37" t="n">
        <v>0</v>
      </c>
      <c r="M148" s="37" t="n">
        <v>0</v>
      </c>
      <c r="N148" s="37" t="n">
        <v>0</v>
      </c>
      <c r="O148" s="37" t="n">
        <v>0</v>
      </c>
      <c r="P148" s="37" t="n">
        <v>213.57071</v>
      </c>
      <c r="Q148" s="37" t="n">
        <v>211.20303</v>
      </c>
      <c r="R148" s="37" t="n">
        <v>0</v>
      </c>
      <c r="T148" s="49"/>
      <c r="U148" s="49"/>
      <c r="V148" s="49"/>
      <c r="W148" s="44"/>
    </row>
    <row r="149" s="42" customFormat="true" ht="27.6" hidden="false" customHeight="true" outlineLevel="0" collapsed="false">
      <c r="A149" s="40"/>
      <c r="B149" s="54"/>
      <c r="C149" s="62" t="s">
        <v>33</v>
      </c>
      <c r="D149" s="36"/>
      <c r="E149" s="36"/>
      <c r="F149" s="37" t="n">
        <f aca="false">SUM(G149:R149)</f>
        <v>215.727987</v>
      </c>
      <c r="G149" s="37" t="n">
        <v>0</v>
      </c>
      <c r="H149" s="37" t="n">
        <v>0</v>
      </c>
      <c r="I149" s="37" t="n">
        <v>0</v>
      </c>
      <c r="J149" s="37" t="n">
        <v>0</v>
      </c>
      <c r="K149" s="37" t="n">
        <v>0</v>
      </c>
      <c r="L149" s="37" t="n">
        <v>0</v>
      </c>
      <c r="M149" s="37" t="n">
        <v>0</v>
      </c>
      <c r="N149" s="37" t="n">
        <v>0</v>
      </c>
      <c r="O149" s="37" t="n">
        <v>0</v>
      </c>
      <c r="P149" s="37" t="n">
        <v>215.727987</v>
      </c>
      <c r="Q149" s="37" t="n">
        <v>0</v>
      </c>
      <c r="R149" s="37" t="n">
        <v>0</v>
      </c>
      <c r="T149" s="49"/>
      <c r="U149" s="49"/>
      <c r="V149" s="49"/>
      <c r="W149" s="44"/>
    </row>
    <row r="150" s="42" customFormat="true" ht="71.25" hidden="false" customHeight="true" outlineLevel="0" collapsed="false">
      <c r="A150" s="40"/>
      <c r="B150" s="54"/>
      <c r="C150" s="62" t="s">
        <v>36</v>
      </c>
      <c r="D150" s="36"/>
      <c r="E150" s="36"/>
      <c r="F150" s="37" t="n">
        <f aca="false">SUM(G150:R150)</f>
        <v>0</v>
      </c>
      <c r="G150" s="37" t="n">
        <v>0</v>
      </c>
      <c r="H150" s="37" t="n">
        <v>0</v>
      </c>
      <c r="I150" s="37" t="n">
        <v>0</v>
      </c>
      <c r="J150" s="37" t="n">
        <v>0</v>
      </c>
      <c r="K150" s="37" t="n">
        <v>0</v>
      </c>
      <c r="L150" s="37" t="n">
        <v>0</v>
      </c>
      <c r="M150" s="37" t="n">
        <v>0</v>
      </c>
      <c r="N150" s="37" t="n">
        <v>0</v>
      </c>
      <c r="O150" s="37" t="n">
        <v>0</v>
      </c>
      <c r="P150" s="37" t="n">
        <v>0</v>
      </c>
      <c r="Q150" s="37" t="n">
        <v>0</v>
      </c>
      <c r="R150" s="37" t="n">
        <v>0</v>
      </c>
      <c r="T150" s="49"/>
      <c r="U150" s="49"/>
      <c r="V150" s="49"/>
      <c r="W150" s="44"/>
    </row>
    <row r="151" s="42" customFormat="true" ht="16.2" hidden="false" customHeight="true" outlineLevel="0" collapsed="false">
      <c r="A151" s="64" t="s">
        <v>82</v>
      </c>
      <c r="B151" s="54" t="s">
        <v>83</v>
      </c>
      <c r="C151" s="62" t="s">
        <v>30</v>
      </c>
      <c r="D151" s="36" t="s">
        <v>42</v>
      </c>
      <c r="E151" s="36" t="s">
        <v>43</v>
      </c>
      <c r="F151" s="37" t="n">
        <f aca="false">F152+F153+F154+F155</f>
        <v>32000</v>
      </c>
      <c r="G151" s="37" t="n">
        <f aca="false">G152+G153+G154+G155</f>
        <v>0</v>
      </c>
      <c r="H151" s="37" t="n">
        <f aca="false">H152+H153+H154+H155</f>
        <v>0</v>
      </c>
      <c r="I151" s="37" t="n">
        <f aca="false">I152+I153+I154+I155</f>
        <v>0</v>
      </c>
      <c r="J151" s="37" t="n">
        <f aca="false">J152+J153+J154+J155</f>
        <v>0</v>
      </c>
      <c r="K151" s="37" t="n">
        <f aca="false">K152+K153+K154+K155</f>
        <v>0</v>
      </c>
      <c r="L151" s="37" t="n">
        <f aca="false">L152+L153+L154+L155</f>
        <v>0</v>
      </c>
      <c r="M151" s="37" t="n">
        <f aca="false">M152+M153+M154+M155</f>
        <v>0</v>
      </c>
      <c r="N151" s="37" t="n">
        <f aca="false">N152+N153+N154+N155</f>
        <v>0</v>
      </c>
      <c r="O151" s="37" t="n">
        <f aca="false">O152+O153+O154+O155</f>
        <v>16000</v>
      </c>
      <c r="P151" s="37" t="n">
        <f aca="false">P152+P153+P154+P155</f>
        <v>10000</v>
      </c>
      <c r="Q151" s="37" t="n">
        <f aca="false">Q152+Q153+Q154+Q155</f>
        <v>6000</v>
      </c>
      <c r="R151" s="37" t="n">
        <f aca="false">R152+R153+R154+R155</f>
        <v>0</v>
      </c>
      <c r="T151" s="49"/>
      <c r="U151" s="49"/>
      <c r="V151" s="49"/>
      <c r="W151" s="44"/>
    </row>
    <row r="152" s="42" customFormat="true" ht="37.5" hidden="false" customHeight="true" outlineLevel="0" collapsed="false">
      <c r="A152" s="64"/>
      <c r="B152" s="54"/>
      <c r="C152" s="62" t="s">
        <v>31</v>
      </c>
      <c r="D152" s="36"/>
      <c r="E152" s="36"/>
      <c r="F152" s="37" t="n">
        <f aca="false">SUM(G152:R152)</f>
        <v>30400</v>
      </c>
      <c r="G152" s="37" t="n">
        <v>0</v>
      </c>
      <c r="H152" s="37" t="n">
        <v>0</v>
      </c>
      <c r="I152" s="37" t="n">
        <v>0</v>
      </c>
      <c r="J152" s="37" t="n">
        <v>0</v>
      </c>
      <c r="K152" s="37" t="n">
        <v>0</v>
      </c>
      <c r="L152" s="37" t="n">
        <v>0</v>
      </c>
      <c r="M152" s="37" t="n">
        <v>0</v>
      </c>
      <c r="N152" s="37" t="n">
        <v>0</v>
      </c>
      <c r="O152" s="37" t="n">
        <v>15200</v>
      </c>
      <c r="P152" s="37" t="n">
        <v>9500</v>
      </c>
      <c r="Q152" s="37" t="n">
        <v>5700</v>
      </c>
      <c r="R152" s="37" t="n">
        <v>0</v>
      </c>
      <c r="T152" s="49"/>
      <c r="U152" s="49"/>
      <c r="V152" s="49"/>
      <c r="W152" s="44"/>
    </row>
    <row r="153" s="42" customFormat="true" ht="24.75" hidden="false" customHeight="true" outlineLevel="0" collapsed="false">
      <c r="A153" s="64"/>
      <c r="B153" s="54"/>
      <c r="C153" s="62" t="s">
        <v>32</v>
      </c>
      <c r="D153" s="36"/>
      <c r="E153" s="36"/>
      <c r="F153" s="37" t="n">
        <f aca="false">SUM(G153:R153)</f>
        <v>1600</v>
      </c>
      <c r="G153" s="37" t="n">
        <v>0</v>
      </c>
      <c r="H153" s="37" t="n">
        <v>0</v>
      </c>
      <c r="I153" s="37" t="n">
        <v>0</v>
      </c>
      <c r="J153" s="37" t="n">
        <v>0</v>
      </c>
      <c r="K153" s="37" t="n">
        <v>0</v>
      </c>
      <c r="L153" s="37" t="n">
        <v>0</v>
      </c>
      <c r="M153" s="37" t="n">
        <v>0</v>
      </c>
      <c r="N153" s="37" t="n">
        <v>0</v>
      </c>
      <c r="O153" s="37" t="n">
        <v>800</v>
      </c>
      <c r="P153" s="37" t="n">
        <v>500</v>
      </c>
      <c r="Q153" s="37" t="n">
        <v>300</v>
      </c>
      <c r="R153" s="37" t="n">
        <v>0</v>
      </c>
      <c r="T153" s="49"/>
      <c r="U153" s="49"/>
      <c r="V153" s="49"/>
      <c r="W153" s="44"/>
    </row>
    <row r="154" s="42" customFormat="true" ht="28.35" hidden="false" customHeight="true" outlineLevel="0" collapsed="false">
      <c r="A154" s="64"/>
      <c r="B154" s="54"/>
      <c r="C154" s="62" t="s">
        <v>33</v>
      </c>
      <c r="D154" s="36"/>
      <c r="E154" s="36"/>
      <c r="F154" s="37" t="n">
        <f aca="false">SUM(G154:R154)</f>
        <v>0</v>
      </c>
      <c r="G154" s="37" t="n">
        <v>0</v>
      </c>
      <c r="H154" s="37" t="n">
        <v>0</v>
      </c>
      <c r="I154" s="37" t="n">
        <v>0</v>
      </c>
      <c r="J154" s="37" t="n">
        <v>0</v>
      </c>
      <c r="K154" s="37" t="n">
        <v>0</v>
      </c>
      <c r="L154" s="37" t="n">
        <v>0</v>
      </c>
      <c r="M154" s="37" t="n">
        <v>0</v>
      </c>
      <c r="N154" s="37" t="n">
        <v>0</v>
      </c>
      <c r="O154" s="37" t="n">
        <v>0</v>
      </c>
      <c r="P154" s="37" t="n">
        <v>0</v>
      </c>
      <c r="Q154" s="37" t="n">
        <v>0</v>
      </c>
      <c r="R154" s="37" t="n">
        <v>0</v>
      </c>
      <c r="T154" s="49"/>
      <c r="U154" s="49"/>
      <c r="V154" s="49"/>
      <c r="W154" s="44"/>
    </row>
    <row r="155" s="42" customFormat="true" ht="73.5" hidden="false" customHeight="true" outlineLevel="0" collapsed="false">
      <c r="A155" s="64"/>
      <c r="B155" s="54"/>
      <c r="C155" s="62" t="s">
        <v>36</v>
      </c>
      <c r="D155" s="36"/>
      <c r="E155" s="36"/>
      <c r="F155" s="37" t="n">
        <f aca="false">SUM(G155:R155)</f>
        <v>0</v>
      </c>
      <c r="G155" s="37" t="n">
        <v>0</v>
      </c>
      <c r="H155" s="37" t="n">
        <v>0</v>
      </c>
      <c r="I155" s="37" t="n">
        <v>0</v>
      </c>
      <c r="J155" s="37" t="n">
        <v>0</v>
      </c>
      <c r="K155" s="37" t="n">
        <v>0</v>
      </c>
      <c r="L155" s="37" t="n">
        <v>0</v>
      </c>
      <c r="M155" s="37" t="n">
        <v>0</v>
      </c>
      <c r="N155" s="37" t="n">
        <v>0</v>
      </c>
      <c r="O155" s="37" t="n">
        <v>0</v>
      </c>
      <c r="P155" s="37" t="n">
        <v>0</v>
      </c>
      <c r="Q155" s="37" t="n">
        <v>0</v>
      </c>
      <c r="R155" s="37" t="n">
        <v>0</v>
      </c>
      <c r="T155" s="49"/>
      <c r="U155" s="49"/>
      <c r="V155" s="49"/>
      <c r="W155" s="44"/>
    </row>
    <row r="156" s="42" customFormat="true" ht="18.65" hidden="false" customHeight="true" outlineLevel="0" collapsed="false">
      <c r="A156" s="40" t="s">
        <v>84</v>
      </c>
      <c r="B156" s="54" t="s">
        <v>85</v>
      </c>
      <c r="C156" s="62" t="s">
        <v>30</v>
      </c>
      <c r="D156" s="36" t="s">
        <v>42</v>
      </c>
      <c r="E156" s="36" t="s">
        <v>43</v>
      </c>
      <c r="F156" s="37" t="n">
        <f aca="false">SUM(G156:R156)</f>
        <v>404963.613817679</v>
      </c>
      <c r="G156" s="37" t="n">
        <f aca="false">SUM(G157:G162)</f>
        <v>0</v>
      </c>
      <c r="H156" s="37" t="n">
        <f aca="false">SUM(H157:H162)</f>
        <v>0</v>
      </c>
      <c r="I156" s="37" t="n">
        <f aca="false">SUM(I157:I162)</f>
        <v>0</v>
      </c>
      <c r="J156" s="37" t="n">
        <f aca="false">SUM(J157:J162)</f>
        <v>0</v>
      </c>
      <c r="K156" s="37" t="n">
        <f aca="false">SUM(K157:K162)</f>
        <v>0</v>
      </c>
      <c r="L156" s="37" t="n">
        <f aca="false">SUM(L157:L162)</f>
        <v>26130.97065</v>
      </c>
      <c r="M156" s="37" t="n">
        <f aca="false">SUM(M157:M162)</f>
        <v>46846.948079598</v>
      </c>
      <c r="N156" s="37" t="n">
        <f aca="false">SUM(N157:N162)</f>
        <v>56392.7686780808</v>
      </c>
      <c r="O156" s="37" t="n">
        <f aca="false">SUM(O157:O162)</f>
        <v>39275.74337</v>
      </c>
      <c r="P156" s="37" t="n">
        <f aca="false">SUM(P157:P162)</f>
        <v>205211.32445</v>
      </c>
      <c r="Q156" s="37" t="n">
        <f aca="false">SUM(Q157:Q162)</f>
        <v>31105.85859</v>
      </c>
      <c r="R156" s="37" t="n">
        <f aca="false">SUM(R157:R162)</f>
        <v>0</v>
      </c>
      <c r="T156" s="49"/>
      <c r="U156" s="49"/>
      <c r="V156" s="49"/>
      <c r="W156" s="44"/>
    </row>
    <row r="157" s="42" customFormat="true" ht="37.3" hidden="false" customHeight="true" outlineLevel="0" collapsed="false">
      <c r="A157" s="40"/>
      <c r="B157" s="54"/>
      <c r="C157" s="62" t="s">
        <v>31</v>
      </c>
      <c r="D157" s="36"/>
      <c r="E157" s="36"/>
      <c r="F157" s="37" t="n">
        <f aca="false">SUM(G157:R157)</f>
        <v>396624.3</v>
      </c>
      <c r="G157" s="37" t="n">
        <v>0</v>
      </c>
      <c r="H157" s="37" t="n">
        <v>0</v>
      </c>
      <c r="I157" s="37" t="n">
        <v>0</v>
      </c>
      <c r="J157" s="37" t="n">
        <v>0</v>
      </c>
      <c r="K157" s="37" t="n">
        <v>0</v>
      </c>
      <c r="L157" s="37" t="n">
        <f aca="false">L164+L178+L171</f>
        <v>24700.3</v>
      </c>
      <c r="M157" s="37" t="n">
        <f aca="false">M164+M178+M171+M185</f>
        <v>44214</v>
      </c>
      <c r="N157" s="37" t="n">
        <f aca="false">N164+N178+N171+N185</f>
        <v>55460.3</v>
      </c>
      <c r="O157" s="37" t="n">
        <f aca="false">O164+O178+O171+O185</f>
        <v>38542.1</v>
      </c>
      <c r="P157" s="37" t="n">
        <f aca="false">P164+P178+P171+P185+P199</f>
        <v>202912.8</v>
      </c>
      <c r="Q157" s="37" t="n">
        <f aca="false">Q164+Q178+Q171+Q185</f>
        <v>30794.8</v>
      </c>
      <c r="R157" s="37" t="n">
        <f aca="false">R164+R178+R171+R185</f>
        <v>0</v>
      </c>
      <c r="T157" s="49" t="n">
        <f aca="false">202912.8-P157</f>
        <v>0</v>
      </c>
      <c r="U157" s="49" t="n">
        <f aca="false">30794.8-Q157</f>
        <v>0</v>
      </c>
      <c r="V157" s="49" t="n">
        <v>0</v>
      </c>
      <c r="W157" s="44"/>
    </row>
    <row r="158" s="42" customFormat="true" ht="28.35" hidden="false" customHeight="true" outlineLevel="0" collapsed="false">
      <c r="A158" s="40"/>
      <c r="B158" s="54"/>
      <c r="C158" s="62" t="s">
        <v>32</v>
      </c>
      <c r="D158" s="36"/>
      <c r="E158" s="36"/>
      <c r="F158" s="37" t="n">
        <f aca="false">SUM(G158:R158)</f>
        <v>7111.93923808081</v>
      </c>
      <c r="G158" s="37" t="n">
        <v>0</v>
      </c>
      <c r="H158" s="37" t="n">
        <v>0</v>
      </c>
      <c r="I158" s="37" t="n">
        <v>0</v>
      </c>
      <c r="J158" s="37" t="n">
        <v>0</v>
      </c>
      <c r="K158" s="37" t="n">
        <v>0</v>
      </c>
      <c r="L158" s="37" t="n">
        <f aca="false">L165+L179+L172</f>
        <v>1300.0158</v>
      </c>
      <c r="M158" s="37" t="n">
        <f aca="false">M165+M179+M172+M186+M193</f>
        <v>2501.72142</v>
      </c>
      <c r="N158" s="37" t="n">
        <f aca="false">N165+N179+N172+N186</f>
        <v>560.205048080808</v>
      </c>
      <c r="O158" s="37" t="n">
        <f aca="false">O165+O179+O172+O186</f>
        <v>389.31414</v>
      </c>
      <c r="P158" s="37" t="n">
        <f aca="false">P165+P179+P172+P200</f>
        <v>2049.62424</v>
      </c>
      <c r="Q158" s="37" t="n">
        <f aca="false">Q165+Q179+Q172</f>
        <v>311.05859</v>
      </c>
      <c r="R158" s="37" t="n">
        <f aca="false">R165+R179</f>
        <v>0</v>
      </c>
      <c r="T158" s="49" t="n">
        <f aca="false">2049.62424-P158</f>
        <v>0</v>
      </c>
      <c r="U158" s="49" t="n">
        <f aca="false">311.05859-Q158</f>
        <v>0</v>
      </c>
      <c r="V158" s="49" t="n">
        <v>0</v>
      </c>
      <c r="W158" s="44"/>
    </row>
    <row r="159" s="42" customFormat="true" ht="24.6" hidden="false" customHeight="true" outlineLevel="0" collapsed="false">
      <c r="A159" s="40"/>
      <c r="B159" s="54"/>
      <c r="C159" s="62" t="s">
        <v>33</v>
      </c>
      <c r="D159" s="36"/>
      <c r="E159" s="36"/>
      <c r="F159" s="37" t="n">
        <f aca="false">SUM(G159:R159)</f>
        <v>1227.37457959799</v>
      </c>
      <c r="G159" s="37" t="n">
        <v>0</v>
      </c>
      <c r="H159" s="37" t="n">
        <v>0</v>
      </c>
      <c r="I159" s="37" t="n">
        <v>0</v>
      </c>
      <c r="J159" s="37" t="n">
        <v>0</v>
      </c>
      <c r="K159" s="37" t="n">
        <v>0</v>
      </c>
      <c r="L159" s="37" t="n">
        <f aca="false">L166+L180+L173</f>
        <v>130.65485</v>
      </c>
      <c r="M159" s="37" t="n">
        <f aca="false">M166+M180</f>
        <v>131.22665959799</v>
      </c>
      <c r="N159" s="37" t="n">
        <f aca="false">N166+N180</f>
        <v>372.26363</v>
      </c>
      <c r="O159" s="37" t="n">
        <f aca="false">O166+O180</f>
        <v>344.32923</v>
      </c>
      <c r="P159" s="37" t="n">
        <f aca="false">P166+P180</f>
        <v>248.90021</v>
      </c>
      <c r="Q159" s="37" t="n">
        <f aca="false">Q166+Q180</f>
        <v>0</v>
      </c>
      <c r="R159" s="37" t="n">
        <f aca="false">R166+R180</f>
        <v>0</v>
      </c>
      <c r="T159" s="49"/>
      <c r="U159" s="49"/>
      <c r="V159" s="49"/>
      <c r="W159" s="44"/>
    </row>
    <row r="160" s="42" customFormat="true" ht="39.55" hidden="false" customHeight="true" outlineLevel="0" collapsed="false">
      <c r="A160" s="56"/>
      <c r="B160" s="65"/>
      <c r="C160" s="62" t="s">
        <v>34</v>
      </c>
      <c r="D160" s="36"/>
      <c r="E160" s="36"/>
      <c r="F160" s="37" t="n">
        <f aca="false">SUM(G160:R160)</f>
        <v>0</v>
      </c>
      <c r="G160" s="37" t="n">
        <v>0</v>
      </c>
      <c r="H160" s="37" t="n">
        <v>0</v>
      </c>
      <c r="I160" s="37" t="n">
        <v>0</v>
      </c>
      <c r="J160" s="37" t="n">
        <v>0</v>
      </c>
      <c r="K160" s="37" t="n">
        <v>0</v>
      </c>
      <c r="L160" s="37" t="n">
        <f aca="false">L167+L181+L174</f>
        <v>0</v>
      </c>
      <c r="M160" s="37" t="n">
        <v>0</v>
      </c>
      <c r="N160" s="37" t="n">
        <v>0</v>
      </c>
      <c r="O160" s="37" t="n">
        <v>0</v>
      </c>
      <c r="P160" s="37" t="n">
        <v>0</v>
      </c>
      <c r="Q160" s="37" t="n">
        <v>0</v>
      </c>
      <c r="R160" s="37" t="n">
        <v>0</v>
      </c>
      <c r="T160" s="49"/>
      <c r="U160" s="49"/>
      <c r="V160" s="49"/>
      <c r="W160" s="44"/>
    </row>
    <row r="161" s="42" customFormat="true" ht="28.35" hidden="false" customHeight="true" outlineLevel="0" collapsed="false">
      <c r="A161" s="58"/>
      <c r="B161" s="66"/>
      <c r="C161" s="62" t="s">
        <v>35</v>
      </c>
      <c r="D161" s="36"/>
      <c r="E161" s="36"/>
      <c r="F161" s="37" t="n">
        <f aca="false">SUM(G161:R161)</f>
        <v>0</v>
      </c>
      <c r="G161" s="37" t="n">
        <v>0</v>
      </c>
      <c r="H161" s="37" t="n">
        <v>0</v>
      </c>
      <c r="I161" s="37" t="n">
        <v>0</v>
      </c>
      <c r="J161" s="37" t="n">
        <v>0</v>
      </c>
      <c r="K161" s="37" t="n">
        <v>0</v>
      </c>
      <c r="L161" s="37" t="n">
        <f aca="false">L168+L182+L175</f>
        <v>0</v>
      </c>
      <c r="M161" s="37" t="n">
        <v>0</v>
      </c>
      <c r="N161" s="37" t="n">
        <v>0</v>
      </c>
      <c r="O161" s="37" t="n">
        <v>0</v>
      </c>
      <c r="P161" s="37" t="n">
        <v>0</v>
      </c>
      <c r="Q161" s="37" t="n">
        <v>0</v>
      </c>
      <c r="R161" s="37" t="n">
        <v>0</v>
      </c>
      <c r="T161" s="49"/>
      <c r="U161" s="49"/>
      <c r="V161" s="49"/>
      <c r="W161" s="44"/>
    </row>
    <row r="162" s="42" customFormat="true" ht="75.35" hidden="false" customHeight="true" outlineLevel="0" collapsed="false">
      <c r="A162" s="60"/>
      <c r="B162" s="67"/>
      <c r="C162" s="62" t="s">
        <v>36</v>
      </c>
      <c r="D162" s="36"/>
      <c r="E162" s="36"/>
      <c r="F162" s="37" t="n">
        <f aca="false">SUM(G162:R162)</f>
        <v>0</v>
      </c>
      <c r="G162" s="37" t="n">
        <v>0</v>
      </c>
      <c r="H162" s="37" t="n">
        <v>0</v>
      </c>
      <c r="I162" s="37" t="n">
        <v>0</v>
      </c>
      <c r="J162" s="37" t="n">
        <v>0</v>
      </c>
      <c r="K162" s="37" t="n">
        <v>0</v>
      </c>
      <c r="L162" s="37" t="n">
        <v>0</v>
      </c>
      <c r="M162" s="37" t="n">
        <v>0</v>
      </c>
      <c r="N162" s="37" t="n">
        <v>0</v>
      </c>
      <c r="O162" s="37" t="n">
        <v>0</v>
      </c>
      <c r="P162" s="37" t="n">
        <v>0</v>
      </c>
      <c r="Q162" s="37" t="n">
        <v>0</v>
      </c>
      <c r="R162" s="37" t="n">
        <v>0</v>
      </c>
      <c r="T162" s="49"/>
      <c r="U162" s="49"/>
      <c r="V162" s="49"/>
      <c r="W162" s="44"/>
    </row>
    <row r="163" s="42" customFormat="true" ht="20.1" hidden="false" customHeight="true" outlineLevel="0" collapsed="false">
      <c r="A163" s="64" t="s">
        <v>86</v>
      </c>
      <c r="B163" s="54" t="s">
        <v>87</v>
      </c>
      <c r="C163" s="62" t="s">
        <v>30</v>
      </c>
      <c r="D163" s="36"/>
      <c r="E163" s="36"/>
      <c r="F163" s="37" t="n">
        <f aca="false">F164+F165+F166+F167+F168+F169</f>
        <v>192903.613819598</v>
      </c>
      <c r="G163" s="37" t="n">
        <f aca="false">G164+G165+G166+G167+G168+G169</f>
        <v>0</v>
      </c>
      <c r="H163" s="37" t="n">
        <f aca="false">H164+H165+H166+H167+H168+H169</f>
        <v>0</v>
      </c>
      <c r="I163" s="37" t="n">
        <f aca="false">I164+I165+I166+I167+I168+I169</f>
        <v>0</v>
      </c>
      <c r="J163" s="37" t="n">
        <f aca="false">J164+J165+J166+J167+J168+J169</f>
        <v>0</v>
      </c>
      <c r="K163" s="37" t="n">
        <f aca="false">K164+K165+K166+K167+K168+K169</f>
        <v>0</v>
      </c>
      <c r="L163" s="37" t="n">
        <f aca="false">L164+L165+L166+L167+L168+L169</f>
        <v>26130.97065</v>
      </c>
      <c r="M163" s="37" t="n">
        <f aca="false">M164+M165+M166+M167+M168+M169</f>
        <v>26245.331919598</v>
      </c>
      <c r="N163" s="37" t="n">
        <f aca="false">N164+N165+N166+N167+N168+N169</f>
        <v>42364.68787</v>
      </c>
      <c r="O163" s="37" t="n">
        <f aca="false">O164+O165+O166+O167+O168+O169</f>
        <v>39275.74337</v>
      </c>
      <c r="P163" s="37" t="n">
        <f aca="false">P164+P165+P166+P167+P168+P169</f>
        <v>27781.02142</v>
      </c>
      <c r="Q163" s="37" t="n">
        <f aca="false">Q164+Q165+Q166+Q167+Q168+Q169</f>
        <v>31105.85859</v>
      </c>
      <c r="R163" s="37" t="n">
        <f aca="false">R164+R165+R166+R167+R168+R169</f>
        <v>0</v>
      </c>
      <c r="T163" s="49"/>
      <c r="U163" s="49"/>
      <c r="V163" s="49"/>
      <c r="W163" s="44"/>
    </row>
    <row r="164" s="42" customFormat="true" ht="38.05" hidden="false" customHeight="true" outlineLevel="0" collapsed="false">
      <c r="A164" s="64"/>
      <c r="B164" s="54"/>
      <c r="C164" s="62" t="s">
        <v>31</v>
      </c>
      <c r="D164" s="36" t="s">
        <v>42</v>
      </c>
      <c r="E164" s="36" t="s">
        <v>43</v>
      </c>
      <c r="F164" s="37" t="n">
        <f aca="false">SUM(G164:R164)</f>
        <v>187674.9</v>
      </c>
      <c r="G164" s="37" t="n">
        <v>0</v>
      </c>
      <c r="H164" s="37" t="n">
        <v>0</v>
      </c>
      <c r="I164" s="37" t="n">
        <v>0</v>
      </c>
      <c r="J164" s="37" t="n">
        <v>0</v>
      </c>
      <c r="K164" s="37" t="n">
        <v>0</v>
      </c>
      <c r="L164" s="37" t="n">
        <v>24700.3</v>
      </c>
      <c r="M164" s="37" t="n">
        <v>24808.4</v>
      </c>
      <c r="N164" s="37" t="n">
        <v>41572.5</v>
      </c>
      <c r="O164" s="37" t="n">
        <v>38542.1</v>
      </c>
      <c r="P164" s="37" t="n">
        <v>27256.8</v>
      </c>
      <c r="Q164" s="37" t="n">
        <v>30794.8</v>
      </c>
      <c r="R164" s="37" t="n">
        <v>0</v>
      </c>
      <c r="T164" s="49" t="n">
        <f aca="false">38542.1-O164</f>
        <v>0</v>
      </c>
      <c r="U164" s="49" t="n">
        <f aca="false">232985.4-P164</f>
        <v>205728.6</v>
      </c>
      <c r="V164" s="49" t="n">
        <f aca="false">42720.2-Q164</f>
        <v>11925.4</v>
      </c>
      <c r="W164" s="44"/>
    </row>
    <row r="165" s="42" customFormat="true" ht="29.1" hidden="false" customHeight="true" outlineLevel="0" collapsed="false">
      <c r="A165" s="64"/>
      <c r="B165" s="54"/>
      <c r="C165" s="62" t="s">
        <v>32</v>
      </c>
      <c r="D165" s="36" t="s">
        <v>42</v>
      </c>
      <c r="E165" s="36" t="s">
        <v>43</v>
      </c>
      <c r="F165" s="37" t="n">
        <f aca="false">SUM(G165:R165)</f>
        <v>4001.33924</v>
      </c>
      <c r="G165" s="37" t="n">
        <v>0</v>
      </c>
      <c r="H165" s="37" t="n">
        <v>0</v>
      </c>
      <c r="I165" s="37" t="n">
        <v>0</v>
      </c>
      <c r="J165" s="37" t="n">
        <v>0</v>
      </c>
      <c r="K165" s="37" t="n">
        <v>0</v>
      </c>
      <c r="L165" s="37" t="n">
        <v>1300.0158</v>
      </c>
      <c r="M165" s="37" t="n">
        <v>1305.70526</v>
      </c>
      <c r="N165" s="37" t="n">
        <v>419.92424</v>
      </c>
      <c r="O165" s="37" t="n">
        <v>389.31414</v>
      </c>
      <c r="P165" s="37" t="n">
        <v>275.32121</v>
      </c>
      <c r="Q165" s="37" t="n">
        <v>311.05859</v>
      </c>
      <c r="R165" s="37" t="n">
        <v>0</v>
      </c>
      <c r="T165" s="49"/>
      <c r="U165" s="49"/>
      <c r="V165" s="49"/>
      <c r="W165" s="44"/>
    </row>
    <row r="166" s="42" customFormat="true" ht="28.35" hidden="false" customHeight="true" outlineLevel="0" collapsed="false">
      <c r="A166" s="64"/>
      <c r="B166" s="54"/>
      <c r="C166" s="62" t="s">
        <v>33</v>
      </c>
      <c r="D166" s="36"/>
      <c r="E166" s="36"/>
      <c r="F166" s="37" t="n">
        <f aca="false">SUM(G166:R166)</f>
        <v>1227.37457959799</v>
      </c>
      <c r="G166" s="37" t="n">
        <v>0</v>
      </c>
      <c r="H166" s="37" t="n">
        <v>0</v>
      </c>
      <c r="I166" s="37" t="n">
        <v>0</v>
      </c>
      <c r="J166" s="37" t="n">
        <v>0</v>
      </c>
      <c r="K166" s="37" t="n">
        <v>0</v>
      </c>
      <c r="L166" s="37" t="n">
        <v>130.65485</v>
      </c>
      <c r="M166" s="37" t="n">
        <f aca="false">(M164+M165)/99.5*0.5</f>
        <v>131.22665959799</v>
      </c>
      <c r="N166" s="37" t="n">
        <v>372.26363</v>
      </c>
      <c r="O166" s="37" t="n">
        <v>344.32923</v>
      </c>
      <c r="P166" s="37" t="n">
        <v>248.90021</v>
      </c>
      <c r="Q166" s="37" t="n">
        <v>0</v>
      </c>
      <c r="R166" s="37" t="n">
        <v>0</v>
      </c>
      <c r="T166" s="49"/>
      <c r="U166" s="49"/>
      <c r="V166" s="49"/>
      <c r="W166" s="44"/>
    </row>
    <row r="167" s="42" customFormat="true" ht="41.75" hidden="false" customHeight="true" outlineLevel="0" collapsed="false">
      <c r="A167" s="64"/>
      <c r="B167" s="54"/>
      <c r="C167" s="62" t="s">
        <v>34</v>
      </c>
      <c r="D167" s="36"/>
      <c r="E167" s="36"/>
      <c r="F167" s="37" t="n">
        <f aca="false">SUM(G167:R167)</f>
        <v>0</v>
      </c>
      <c r="G167" s="37" t="n">
        <v>0</v>
      </c>
      <c r="H167" s="37" t="n">
        <v>0</v>
      </c>
      <c r="I167" s="37" t="n">
        <v>0</v>
      </c>
      <c r="J167" s="37" t="n">
        <v>0</v>
      </c>
      <c r="K167" s="37" t="n">
        <v>0</v>
      </c>
      <c r="L167" s="37" t="n">
        <v>0</v>
      </c>
      <c r="M167" s="37" t="n">
        <v>0</v>
      </c>
      <c r="N167" s="37" t="n">
        <v>0</v>
      </c>
      <c r="O167" s="37" t="n">
        <v>0</v>
      </c>
      <c r="P167" s="37" t="n">
        <v>0</v>
      </c>
      <c r="Q167" s="37" t="n">
        <v>0</v>
      </c>
      <c r="R167" s="37" t="n">
        <v>0</v>
      </c>
      <c r="T167" s="49"/>
      <c r="U167" s="49"/>
      <c r="V167" s="49"/>
      <c r="W167" s="44"/>
    </row>
    <row r="168" s="42" customFormat="true" ht="27.6" hidden="false" customHeight="true" outlineLevel="0" collapsed="false">
      <c r="A168" s="64"/>
      <c r="B168" s="54"/>
      <c r="C168" s="62" t="s">
        <v>35</v>
      </c>
      <c r="D168" s="36"/>
      <c r="E168" s="36"/>
      <c r="F168" s="37" t="n">
        <f aca="false">SUM(G168:R168)</f>
        <v>0</v>
      </c>
      <c r="G168" s="37" t="n">
        <v>0</v>
      </c>
      <c r="H168" s="37" t="n">
        <v>0</v>
      </c>
      <c r="I168" s="37" t="n">
        <v>0</v>
      </c>
      <c r="J168" s="37" t="n">
        <v>0</v>
      </c>
      <c r="K168" s="37" t="n">
        <v>0</v>
      </c>
      <c r="L168" s="37" t="n">
        <v>0</v>
      </c>
      <c r="M168" s="37" t="n">
        <v>0</v>
      </c>
      <c r="N168" s="37" t="n">
        <v>0</v>
      </c>
      <c r="O168" s="37" t="n">
        <v>0</v>
      </c>
      <c r="P168" s="37" t="n">
        <v>0</v>
      </c>
      <c r="Q168" s="37" t="n">
        <v>0</v>
      </c>
      <c r="R168" s="37" t="n">
        <v>0</v>
      </c>
      <c r="T168" s="49"/>
      <c r="U168" s="49"/>
      <c r="V168" s="49"/>
      <c r="W168" s="44"/>
    </row>
    <row r="169" s="42" customFormat="true" ht="73.1" hidden="false" customHeight="true" outlineLevel="0" collapsed="false">
      <c r="A169" s="64"/>
      <c r="B169" s="54"/>
      <c r="C169" s="62" t="s">
        <v>36</v>
      </c>
      <c r="D169" s="36"/>
      <c r="E169" s="36"/>
      <c r="F169" s="37" t="n">
        <f aca="false">SUM(G169:R169)</f>
        <v>0</v>
      </c>
      <c r="G169" s="37" t="n">
        <v>0</v>
      </c>
      <c r="H169" s="37" t="n">
        <v>0</v>
      </c>
      <c r="I169" s="37" t="n">
        <v>0</v>
      </c>
      <c r="J169" s="37" t="n">
        <v>0</v>
      </c>
      <c r="K169" s="37" t="n">
        <v>0</v>
      </c>
      <c r="L169" s="37" t="n">
        <v>0</v>
      </c>
      <c r="M169" s="37" t="n">
        <v>0</v>
      </c>
      <c r="N169" s="37" t="n">
        <v>0</v>
      </c>
      <c r="O169" s="37" t="n">
        <v>0</v>
      </c>
      <c r="P169" s="37" t="n">
        <v>0</v>
      </c>
      <c r="Q169" s="37" t="n">
        <v>0</v>
      </c>
      <c r="R169" s="37" t="n">
        <v>0</v>
      </c>
      <c r="T169" s="49"/>
      <c r="U169" s="49"/>
      <c r="V169" s="49"/>
      <c r="W169" s="44"/>
    </row>
    <row r="170" s="42" customFormat="true" ht="17.9" hidden="false" customHeight="true" outlineLevel="0" collapsed="false">
      <c r="A170" s="40" t="s">
        <v>88</v>
      </c>
      <c r="B170" s="54" t="s">
        <v>89</v>
      </c>
      <c r="C170" s="62" t="s">
        <v>30</v>
      </c>
      <c r="D170" s="36"/>
      <c r="E170" s="36"/>
      <c r="F170" s="37" t="n">
        <f aca="false">F171+F172+F173+F174+F175+F176</f>
        <v>16933.93939</v>
      </c>
      <c r="G170" s="37" t="n">
        <f aca="false">G171+G172+G173+G174+G175+G176</f>
        <v>0</v>
      </c>
      <c r="H170" s="37" t="n">
        <f aca="false">H171+H172+H173+H174+H175+H176</f>
        <v>0</v>
      </c>
      <c r="I170" s="37" t="n">
        <f aca="false">I171+I172+I173+I174+I175+I176</f>
        <v>0</v>
      </c>
      <c r="J170" s="37" t="n">
        <f aca="false">J171+J172+J173+J174+J175+J176</f>
        <v>0</v>
      </c>
      <c r="K170" s="37" t="n">
        <f aca="false">K171+K172+K173+K174+K175+K176</f>
        <v>0</v>
      </c>
      <c r="L170" s="37" t="n">
        <f aca="false">L171+L172+L173+L174+L175+L176</f>
        <v>0</v>
      </c>
      <c r="M170" s="37" t="n">
        <f aca="false">M171+M172+M173+M174+M175+M176</f>
        <v>16933.93939</v>
      </c>
      <c r="N170" s="37" t="n">
        <f aca="false">N171+N172+N173+N174+N175+N176</f>
        <v>0</v>
      </c>
      <c r="O170" s="37" t="n">
        <f aca="false">O171+O172+O173+O174+O175+O176</f>
        <v>0</v>
      </c>
      <c r="P170" s="37" t="n">
        <f aca="false">P171+P172+P173+P174+P175+P176</f>
        <v>0</v>
      </c>
      <c r="Q170" s="37" t="n">
        <f aca="false">Q171+Q172+Q173+Q174+Q175+Q176</f>
        <v>0</v>
      </c>
      <c r="R170" s="37" t="n">
        <f aca="false">R171+R172+R173+R174+R175+R176</f>
        <v>0</v>
      </c>
      <c r="T170" s="49"/>
      <c r="U170" s="49"/>
      <c r="V170" s="49"/>
      <c r="W170" s="44"/>
    </row>
    <row r="171" s="42" customFormat="true" ht="40.25" hidden="false" customHeight="true" outlineLevel="0" collapsed="false">
      <c r="A171" s="40"/>
      <c r="B171" s="54"/>
      <c r="C171" s="62" t="s">
        <v>31</v>
      </c>
      <c r="D171" s="36" t="s">
        <v>42</v>
      </c>
      <c r="E171" s="36" t="s">
        <v>43</v>
      </c>
      <c r="F171" s="37" t="n">
        <f aca="false">SUM(G171:R171)</f>
        <v>16764.6</v>
      </c>
      <c r="G171" s="37" t="n">
        <v>0</v>
      </c>
      <c r="H171" s="37" t="n">
        <v>0</v>
      </c>
      <c r="I171" s="37" t="n">
        <v>0</v>
      </c>
      <c r="J171" s="37" t="n">
        <v>0</v>
      </c>
      <c r="K171" s="37" t="n">
        <v>0</v>
      </c>
      <c r="L171" s="37" t="n">
        <v>0</v>
      </c>
      <c r="M171" s="37" t="n">
        <v>16764.6</v>
      </c>
      <c r="N171" s="37" t="n">
        <v>0</v>
      </c>
      <c r="O171" s="37" t="n">
        <v>0</v>
      </c>
      <c r="P171" s="37" t="n">
        <v>0</v>
      </c>
      <c r="Q171" s="37" t="n">
        <v>0</v>
      </c>
      <c r="R171" s="37" t="n">
        <v>0</v>
      </c>
      <c r="T171" s="49"/>
      <c r="U171" s="49"/>
      <c r="V171" s="49"/>
      <c r="W171" s="44"/>
    </row>
    <row r="172" s="42" customFormat="true" ht="26.1" hidden="false" customHeight="true" outlineLevel="0" collapsed="false">
      <c r="A172" s="40"/>
      <c r="B172" s="54"/>
      <c r="C172" s="62" t="s">
        <v>32</v>
      </c>
      <c r="D172" s="36" t="s">
        <v>42</v>
      </c>
      <c r="E172" s="36" t="s">
        <v>43</v>
      </c>
      <c r="F172" s="37" t="n">
        <f aca="false">SUM(G172:R172)</f>
        <v>169.33939</v>
      </c>
      <c r="G172" s="37" t="n">
        <v>0</v>
      </c>
      <c r="H172" s="37" t="n">
        <v>0</v>
      </c>
      <c r="I172" s="37" t="n">
        <v>0</v>
      </c>
      <c r="J172" s="37" t="n">
        <v>0</v>
      </c>
      <c r="K172" s="37" t="n">
        <v>0</v>
      </c>
      <c r="L172" s="37" t="n">
        <v>0</v>
      </c>
      <c r="M172" s="37" t="n">
        <v>169.33939</v>
      </c>
      <c r="N172" s="37" t="n">
        <v>0</v>
      </c>
      <c r="O172" s="37" t="n">
        <v>0</v>
      </c>
      <c r="P172" s="37" t="n">
        <v>0</v>
      </c>
      <c r="Q172" s="37" t="n">
        <v>0</v>
      </c>
      <c r="R172" s="37" t="n">
        <v>0</v>
      </c>
      <c r="T172" s="49"/>
      <c r="U172" s="49"/>
      <c r="V172" s="49"/>
      <c r="W172" s="44"/>
    </row>
    <row r="173" s="42" customFormat="true" ht="28.35" hidden="false" customHeight="true" outlineLevel="0" collapsed="false">
      <c r="A173" s="40"/>
      <c r="B173" s="54"/>
      <c r="C173" s="62" t="s">
        <v>33</v>
      </c>
      <c r="D173" s="36"/>
      <c r="E173" s="36"/>
      <c r="F173" s="37" t="n">
        <f aca="false">SUM(G173:R173)</f>
        <v>0</v>
      </c>
      <c r="G173" s="37" t="n">
        <v>0</v>
      </c>
      <c r="H173" s="37" t="n">
        <v>0</v>
      </c>
      <c r="I173" s="37" t="n">
        <v>0</v>
      </c>
      <c r="J173" s="37" t="n">
        <v>0</v>
      </c>
      <c r="K173" s="37" t="n">
        <v>0</v>
      </c>
      <c r="L173" s="37" t="n">
        <v>0</v>
      </c>
      <c r="M173" s="37" t="n">
        <v>0</v>
      </c>
      <c r="N173" s="37" t="n">
        <v>0</v>
      </c>
      <c r="O173" s="37" t="n">
        <v>0</v>
      </c>
      <c r="P173" s="37" t="n">
        <v>0</v>
      </c>
      <c r="Q173" s="37" t="n">
        <v>0</v>
      </c>
      <c r="R173" s="37" t="n">
        <v>0</v>
      </c>
      <c r="T173" s="49"/>
      <c r="U173" s="49"/>
      <c r="V173" s="49"/>
      <c r="W173" s="44"/>
    </row>
    <row r="174" s="42" customFormat="true" ht="42.5" hidden="false" customHeight="true" outlineLevel="0" collapsed="false">
      <c r="A174" s="40"/>
      <c r="B174" s="54"/>
      <c r="C174" s="62" t="s">
        <v>34</v>
      </c>
      <c r="D174" s="36"/>
      <c r="E174" s="36"/>
      <c r="F174" s="37" t="n">
        <f aca="false">SUM(G174:R174)</f>
        <v>0</v>
      </c>
      <c r="G174" s="37" t="n">
        <v>0</v>
      </c>
      <c r="H174" s="37" t="n">
        <v>0</v>
      </c>
      <c r="I174" s="37" t="n">
        <v>0</v>
      </c>
      <c r="J174" s="37" t="n">
        <v>0</v>
      </c>
      <c r="K174" s="37" t="n">
        <v>0</v>
      </c>
      <c r="L174" s="37" t="n">
        <v>0</v>
      </c>
      <c r="M174" s="37" t="n">
        <v>0</v>
      </c>
      <c r="N174" s="37" t="n">
        <v>0</v>
      </c>
      <c r="O174" s="37" t="n">
        <v>0</v>
      </c>
      <c r="P174" s="37" t="n">
        <v>0</v>
      </c>
      <c r="Q174" s="37" t="n">
        <v>0</v>
      </c>
      <c r="R174" s="37" t="n">
        <v>0</v>
      </c>
      <c r="T174" s="49"/>
      <c r="U174" s="49"/>
      <c r="V174" s="49"/>
      <c r="W174" s="44"/>
    </row>
    <row r="175" s="42" customFormat="true" ht="30.55" hidden="false" customHeight="true" outlineLevel="0" collapsed="false">
      <c r="A175" s="40"/>
      <c r="B175" s="54"/>
      <c r="C175" s="62" t="s">
        <v>35</v>
      </c>
      <c r="D175" s="36"/>
      <c r="E175" s="36"/>
      <c r="F175" s="37" t="n">
        <f aca="false">SUM(G175:R175)</f>
        <v>0</v>
      </c>
      <c r="G175" s="37" t="n">
        <v>0</v>
      </c>
      <c r="H175" s="37" t="n">
        <v>0</v>
      </c>
      <c r="I175" s="37" t="n">
        <v>0</v>
      </c>
      <c r="J175" s="37" t="n">
        <v>0</v>
      </c>
      <c r="K175" s="37" t="n">
        <v>0</v>
      </c>
      <c r="L175" s="37" t="n">
        <v>0</v>
      </c>
      <c r="M175" s="37" t="n">
        <v>0</v>
      </c>
      <c r="N175" s="37" t="n">
        <v>0</v>
      </c>
      <c r="O175" s="37" t="n">
        <v>0</v>
      </c>
      <c r="P175" s="37" t="n">
        <v>0</v>
      </c>
      <c r="Q175" s="37" t="n">
        <v>0</v>
      </c>
      <c r="R175" s="37" t="n">
        <v>0</v>
      </c>
      <c r="T175" s="49"/>
      <c r="U175" s="49"/>
      <c r="V175" s="49"/>
      <c r="W175" s="44"/>
    </row>
    <row r="176" s="42" customFormat="true" ht="74.6" hidden="false" customHeight="true" outlineLevel="0" collapsed="false">
      <c r="A176" s="40"/>
      <c r="B176" s="54"/>
      <c r="C176" s="62" t="s">
        <v>36</v>
      </c>
      <c r="D176" s="36"/>
      <c r="E176" s="36"/>
      <c r="F176" s="37" t="n">
        <f aca="false">SUM(G176:R176)</f>
        <v>0</v>
      </c>
      <c r="G176" s="37" t="n">
        <v>0</v>
      </c>
      <c r="H176" s="37" t="n">
        <v>0</v>
      </c>
      <c r="I176" s="37" t="n">
        <v>0</v>
      </c>
      <c r="J176" s="37" t="n">
        <v>0</v>
      </c>
      <c r="K176" s="37" t="n">
        <v>0</v>
      </c>
      <c r="L176" s="37" t="n">
        <v>0</v>
      </c>
      <c r="M176" s="37" t="n">
        <v>0</v>
      </c>
      <c r="N176" s="37" t="n">
        <v>0</v>
      </c>
      <c r="O176" s="37" t="n">
        <v>0</v>
      </c>
      <c r="P176" s="37" t="n">
        <v>0</v>
      </c>
      <c r="Q176" s="37" t="n">
        <v>0</v>
      </c>
      <c r="R176" s="37" t="n">
        <v>0</v>
      </c>
      <c r="T176" s="49"/>
      <c r="U176" s="49"/>
      <c r="V176" s="49"/>
      <c r="W176" s="44"/>
    </row>
    <row r="177" s="42" customFormat="true" ht="14.35" hidden="false" customHeight="true" outlineLevel="0" collapsed="false">
      <c r="A177" s="40" t="s">
        <v>90</v>
      </c>
      <c r="B177" s="54" t="s">
        <v>91</v>
      </c>
      <c r="C177" s="62" t="s">
        <v>30</v>
      </c>
      <c r="D177" s="36"/>
      <c r="E177" s="36"/>
      <c r="F177" s="37" t="n">
        <f aca="false">F178+F179+F180+F181+F182+F183</f>
        <v>14028.0808080808</v>
      </c>
      <c r="G177" s="37" t="n">
        <f aca="false">G178+G179+G180+G181+G182+G183</f>
        <v>0</v>
      </c>
      <c r="H177" s="37" t="n">
        <f aca="false">H178+H179+H180+H181+H182+H183</f>
        <v>0</v>
      </c>
      <c r="I177" s="37" t="n">
        <f aca="false">I178+I179+I180+I181+I182+I183</f>
        <v>0</v>
      </c>
      <c r="J177" s="37" t="n">
        <f aca="false">J178+J179+J180+J181+J182+J183</f>
        <v>0</v>
      </c>
      <c r="K177" s="37" t="n">
        <f aca="false">K178+K179+K180+K181+K182+K183</f>
        <v>0</v>
      </c>
      <c r="L177" s="37" t="n">
        <f aca="false">L178+L179+L180+L181+L182+L183</f>
        <v>0</v>
      </c>
      <c r="M177" s="37" t="n">
        <f aca="false">M178+M179+M180+M181+M182+M183</f>
        <v>0</v>
      </c>
      <c r="N177" s="37" t="n">
        <f aca="false">N178+N179+N180+N181+N182+N183</f>
        <v>14028.0808080808</v>
      </c>
      <c r="O177" s="37" t="n">
        <f aca="false">O178+O179+O180+O181+O182+O183</f>
        <v>0</v>
      </c>
      <c r="P177" s="37" t="n">
        <f aca="false">P178+P179+P180+P181+P182+P183</f>
        <v>0</v>
      </c>
      <c r="Q177" s="37" t="n">
        <f aca="false">Q178+Q179+Q180+Q181+Q182+Q183</f>
        <v>0</v>
      </c>
      <c r="R177" s="37" t="n">
        <f aca="false">R178+R179+R180+R181+R182+R183</f>
        <v>0</v>
      </c>
      <c r="T177" s="49"/>
      <c r="U177" s="49"/>
      <c r="V177" s="49"/>
      <c r="W177" s="44"/>
    </row>
    <row r="178" s="42" customFormat="true" ht="36.55" hidden="false" customHeight="true" outlineLevel="0" collapsed="false">
      <c r="A178" s="40"/>
      <c r="B178" s="54"/>
      <c r="C178" s="62" t="s">
        <v>31</v>
      </c>
      <c r="D178" s="36" t="s">
        <v>42</v>
      </c>
      <c r="E178" s="36" t="s">
        <v>43</v>
      </c>
      <c r="F178" s="37" t="n">
        <f aca="false">SUM(G178:R178)</f>
        <v>13887.8</v>
      </c>
      <c r="G178" s="37" t="n">
        <v>0</v>
      </c>
      <c r="H178" s="37" t="n">
        <v>0</v>
      </c>
      <c r="I178" s="37" t="n">
        <v>0</v>
      </c>
      <c r="J178" s="37" t="n">
        <v>0</v>
      </c>
      <c r="K178" s="37" t="n">
        <v>0</v>
      </c>
      <c r="L178" s="37" t="n">
        <v>0</v>
      </c>
      <c r="M178" s="37" t="n">
        <v>0</v>
      </c>
      <c r="N178" s="37" t="n">
        <v>13887.8</v>
      </c>
      <c r="O178" s="37" t="n">
        <v>0</v>
      </c>
      <c r="P178" s="37" t="n">
        <v>0</v>
      </c>
      <c r="Q178" s="37" t="n">
        <v>0</v>
      </c>
      <c r="R178" s="37" t="n">
        <v>0</v>
      </c>
      <c r="T178" s="49"/>
      <c r="U178" s="49"/>
      <c r="V178" s="49"/>
      <c r="W178" s="44"/>
    </row>
    <row r="179" s="42" customFormat="true" ht="22.5" hidden="false" customHeight="false" outlineLevel="0" collapsed="false">
      <c r="A179" s="40"/>
      <c r="B179" s="54"/>
      <c r="C179" s="62" t="s">
        <v>32</v>
      </c>
      <c r="D179" s="36" t="s">
        <v>42</v>
      </c>
      <c r="E179" s="36" t="s">
        <v>43</v>
      </c>
      <c r="F179" s="37" t="n">
        <f aca="false">SUM(G179:R179)</f>
        <v>140.280808080808</v>
      </c>
      <c r="G179" s="37" t="n">
        <v>0</v>
      </c>
      <c r="H179" s="37" t="n">
        <v>0</v>
      </c>
      <c r="I179" s="37" t="n">
        <v>0</v>
      </c>
      <c r="J179" s="37" t="n">
        <v>0</v>
      </c>
      <c r="K179" s="37" t="n">
        <v>0</v>
      </c>
      <c r="L179" s="37" t="n">
        <v>0</v>
      </c>
      <c r="M179" s="37" t="n">
        <v>0</v>
      </c>
      <c r="N179" s="37" t="n">
        <f aca="false">N178/99</f>
        <v>140.280808080808</v>
      </c>
      <c r="O179" s="37" t="n">
        <v>0</v>
      </c>
      <c r="P179" s="37" t="n">
        <v>0</v>
      </c>
      <c r="Q179" s="37" t="n">
        <v>0</v>
      </c>
      <c r="R179" s="37" t="n">
        <v>0</v>
      </c>
      <c r="T179" s="49"/>
      <c r="U179" s="49"/>
      <c r="V179" s="49"/>
      <c r="W179" s="44"/>
    </row>
    <row r="180" s="42" customFormat="true" ht="22.5" hidden="false" customHeight="false" outlineLevel="0" collapsed="false">
      <c r="A180" s="40"/>
      <c r="B180" s="54"/>
      <c r="C180" s="62" t="s">
        <v>33</v>
      </c>
      <c r="D180" s="36"/>
      <c r="E180" s="36"/>
      <c r="F180" s="37" t="n">
        <f aca="false">SUM(G180:R180)</f>
        <v>0</v>
      </c>
      <c r="G180" s="37" t="n">
        <v>0</v>
      </c>
      <c r="H180" s="37" t="n">
        <v>0</v>
      </c>
      <c r="I180" s="37" t="n">
        <v>0</v>
      </c>
      <c r="J180" s="37" t="n">
        <v>0</v>
      </c>
      <c r="K180" s="37" t="n">
        <v>0</v>
      </c>
      <c r="L180" s="37" t="n">
        <v>0</v>
      </c>
      <c r="M180" s="37" t="n">
        <v>0</v>
      </c>
      <c r="N180" s="37" t="n">
        <v>0</v>
      </c>
      <c r="O180" s="37" t="n">
        <v>0</v>
      </c>
      <c r="P180" s="37" t="n">
        <v>0</v>
      </c>
      <c r="Q180" s="37" t="n">
        <v>0</v>
      </c>
      <c r="R180" s="37" t="n">
        <v>0</v>
      </c>
      <c r="T180" s="49"/>
      <c r="U180" s="49"/>
      <c r="V180" s="49"/>
      <c r="W180" s="44"/>
    </row>
    <row r="181" s="42" customFormat="true" ht="38.25" hidden="false" customHeight="true" outlineLevel="0" collapsed="false">
      <c r="A181" s="40"/>
      <c r="B181" s="54"/>
      <c r="C181" s="62" t="s">
        <v>34</v>
      </c>
      <c r="D181" s="36"/>
      <c r="E181" s="36"/>
      <c r="F181" s="37" t="n">
        <f aca="false">SUM(G181:R181)</f>
        <v>0</v>
      </c>
      <c r="G181" s="37" t="n">
        <v>0</v>
      </c>
      <c r="H181" s="37" t="n">
        <v>0</v>
      </c>
      <c r="I181" s="37" t="n">
        <v>0</v>
      </c>
      <c r="J181" s="37" t="n">
        <v>0</v>
      </c>
      <c r="K181" s="37" t="n">
        <v>0</v>
      </c>
      <c r="L181" s="37" t="n">
        <v>0</v>
      </c>
      <c r="M181" s="37" t="n">
        <v>0</v>
      </c>
      <c r="N181" s="37" t="n">
        <v>0</v>
      </c>
      <c r="O181" s="37" t="n">
        <v>0</v>
      </c>
      <c r="P181" s="37" t="n">
        <v>0</v>
      </c>
      <c r="Q181" s="37" t="n">
        <v>0</v>
      </c>
      <c r="R181" s="37" t="n">
        <v>0</v>
      </c>
      <c r="T181" s="49"/>
      <c r="U181" s="49"/>
      <c r="V181" s="49"/>
      <c r="W181" s="44"/>
    </row>
    <row r="182" s="42" customFormat="true" ht="24.6" hidden="false" customHeight="true" outlineLevel="0" collapsed="false">
      <c r="A182" s="40"/>
      <c r="B182" s="54"/>
      <c r="C182" s="62" t="s">
        <v>35</v>
      </c>
      <c r="D182" s="36"/>
      <c r="E182" s="36"/>
      <c r="F182" s="37" t="n">
        <f aca="false">SUM(G182:R182)</f>
        <v>0</v>
      </c>
      <c r="G182" s="37" t="n">
        <v>0</v>
      </c>
      <c r="H182" s="37" t="n">
        <v>0</v>
      </c>
      <c r="I182" s="37" t="n">
        <v>0</v>
      </c>
      <c r="J182" s="37" t="n">
        <v>0</v>
      </c>
      <c r="K182" s="37" t="n">
        <v>0</v>
      </c>
      <c r="L182" s="37" t="n">
        <v>0</v>
      </c>
      <c r="M182" s="37" t="n">
        <v>0</v>
      </c>
      <c r="N182" s="37" t="n">
        <v>0</v>
      </c>
      <c r="O182" s="37" t="n">
        <v>0</v>
      </c>
      <c r="P182" s="37" t="n">
        <v>0</v>
      </c>
      <c r="Q182" s="37" t="n">
        <v>0</v>
      </c>
      <c r="R182" s="37" t="n">
        <v>0</v>
      </c>
      <c r="T182" s="49"/>
      <c r="U182" s="49"/>
      <c r="V182" s="49"/>
      <c r="W182" s="44"/>
    </row>
    <row r="183" s="42" customFormat="true" ht="71.25" hidden="false" customHeight="true" outlineLevel="0" collapsed="false">
      <c r="A183" s="40"/>
      <c r="B183" s="54"/>
      <c r="C183" s="62" t="s">
        <v>36</v>
      </c>
      <c r="D183" s="36"/>
      <c r="E183" s="36"/>
      <c r="F183" s="37" t="n">
        <f aca="false">SUM(G183:R183)</f>
        <v>0</v>
      </c>
      <c r="G183" s="37" t="n">
        <v>0</v>
      </c>
      <c r="H183" s="37" t="n">
        <v>0</v>
      </c>
      <c r="I183" s="37" t="n">
        <v>0</v>
      </c>
      <c r="J183" s="37" t="n">
        <v>0</v>
      </c>
      <c r="K183" s="37" t="n">
        <v>0</v>
      </c>
      <c r="L183" s="37" t="n">
        <v>0</v>
      </c>
      <c r="M183" s="37" t="n">
        <v>0</v>
      </c>
      <c r="N183" s="37" t="n">
        <v>0</v>
      </c>
      <c r="O183" s="37" t="n">
        <v>0</v>
      </c>
      <c r="P183" s="37" t="n">
        <v>0</v>
      </c>
      <c r="Q183" s="37" t="n">
        <v>0</v>
      </c>
      <c r="R183" s="37" t="n">
        <v>0</v>
      </c>
      <c r="T183" s="49"/>
      <c r="U183" s="49"/>
      <c r="V183" s="49"/>
      <c r="W183" s="44"/>
    </row>
    <row r="184" s="42" customFormat="true" ht="20.1" hidden="false" customHeight="true" outlineLevel="0" collapsed="false">
      <c r="A184" s="40" t="s">
        <v>92</v>
      </c>
      <c r="B184" s="54" t="s">
        <v>93</v>
      </c>
      <c r="C184" s="62" t="s">
        <v>30</v>
      </c>
      <c r="D184" s="36"/>
      <c r="E184" s="36"/>
      <c r="F184" s="37" t="n">
        <f aca="false">F185+F186+F187+F188+F189+F190</f>
        <v>2667.67677</v>
      </c>
      <c r="G184" s="37" t="n">
        <f aca="false">G185+G186+G187+G188+G189+G190</f>
        <v>0</v>
      </c>
      <c r="H184" s="37" t="n">
        <f aca="false">H185+H186+H187+H188+H189+H190</f>
        <v>0</v>
      </c>
      <c r="I184" s="37" t="n">
        <f aca="false">I185+I186+I187+I188+I189+I190</f>
        <v>0</v>
      </c>
      <c r="J184" s="37" t="n">
        <f aca="false">J185+J186+J187+J188+J189+J190</f>
        <v>0</v>
      </c>
      <c r="K184" s="37" t="n">
        <f aca="false">K185+K186+K187+K188+K189+K190</f>
        <v>0</v>
      </c>
      <c r="L184" s="37" t="n">
        <f aca="false">L185+L186+L187+L188+L189+L190</f>
        <v>0</v>
      </c>
      <c r="M184" s="37" t="n">
        <f aca="false">M185+M186+M187+M188+M189+M190</f>
        <v>2667.67677</v>
      </c>
      <c r="N184" s="37" t="n">
        <f aca="false">N185+N186+N187+N188+N189+N190</f>
        <v>0</v>
      </c>
      <c r="O184" s="37" t="n">
        <f aca="false">O185+O186+O187+O188+O189+O190</f>
        <v>0</v>
      </c>
      <c r="P184" s="37" t="n">
        <f aca="false">P185+P186+P187+P188+P189+P190</f>
        <v>0</v>
      </c>
      <c r="Q184" s="37" t="n">
        <f aca="false">Q185+Q186+Q187+Q188+Q189+Q190</f>
        <v>0</v>
      </c>
      <c r="R184" s="37" t="n">
        <f aca="false">R185+R186+R187+R188+R189+R190</f>
        <v>0</v>
      </c>
      <c r="T184" s="49"/>
      <c r="U184" s="49"/>
      <c r="V184" s="49"/>
      <c r="W184" s="44"/>
    </row>
    <row r="185" s="42" customFormat="true" ht="38.05" hidden="false" customHeight="true" outlineLevel="0" collapsed="false">
      <c r="A185" s="40"/>
      <c r="B185" s="54"/>
      <c r="C185" s="62" t="s">
        <v>31</v>
      </c>
      <c r="D185" s="36" t="s">
        <v>42</v>
      </c>
      <c r="E185" s="36" t="s">
        <v>43</v>
      </c>
      <c r="F185" s="37" t="n">
        <f aca="false">M185+N185+O185+P185+Q185+R185</f>
        <v>2641</v>
      </c>
      <c r="G185" s="37" t="n">
        <v>0</v>
      </c>
      <c r="H185" s="37" t="n">
        <v>0</v>
      </c>
      <c r="I185" s="37" t="n">
        <v>0</v>
      </c>
      <c r="J185" s="37" t="n">
        <v>0</v>
      </c>
      <c r="K185" s="37" t="n">
        <v>0</v>
      </c>
      <c r="L185" s="37" t="n">
        <v>0</v>
      </c>
      <c r="M185" s="37" t="n">
        <v>2641</v>
      </c>
      <c r="N185" s="37" t="n">
        <v>0</v>
      </c>
      <c r="O185" s="37" t="n">
        <v>0</v>
      </c>
      <c r="P185" s="37" t="n">
        <v>0</v>
      </c>
      <c r="Q185" s="37" t="n">
        <v>0</v>
      </c>
      <c r="R185" s="37" t="n">
        <v>0</v>
      </c>
      <c r="T185" s="49"/>
      <c r="U185" s="49"/>
      <c r="V185" s="49"/>
      <c r="W185" s="44"/>
    </row>
    <row r="186" s="42" customFormat="true" ht="29.1" hidden="false" customHeight="true" outlineLevel="0" collapsed="false">
      <c r="A186" s="40"/>
      <c r="B186" s="54"/>
      <c r="C186" s="62" t="s">
        <v>32</v>
      </c>
      <c r="D186" s="36" t="s">
        <v>42</v>
      </c>
      <c r="E186" s="36" t="s">
        <v>43</v>
      </c>
      <c r="F186" s="37" t="n">
        <f aca="false">M186+N186+O186+P186+Q186+R186</f>
        <v>26.67677</v>
      </c>
      <c r="G186" s="37" t="n">
        <v>0</v>
      </c>
      <c r="H186" s="37" t="n">
        <v>0</v>
      </c>
      <c r="I186" s="37" t="n">
        <v>0</v>
      </c>
      <c r="J186" s="37" t="n">
        <v>0</v>
      </c>
      <c r="K186" s="37" t="n">
        <v>0</v>
      </c>
      <c r="L186" s="37" t="n">
        <v>0</v>
      </c>
      <c r="M186" s="37" t="n">
        <v>26.67677</v>
      </c>
      <c r="N186" s="37" t="n">
        <v>0</v>
      </c>
      <c r="O186" s="37" t="n">
        <v>0</v>
      </c>
      <c r="P186" s="37" t="n">
        <v>0</v>
      </c>
      <c r="Q186" s="37" t="n">
        <v>0</v>
      </c>
      <c r="R186" s="37" t="n">
        <v>0</v>
      </c>
      <c r="T186" s="49"/>
      <c r="U186" s="49"/>
      <c r="V186" s="49"/>
      <c r="W186" s="44"/>
    </row>
    <row r="187" s="42" customFormat="true" ht="26.1" hidden="false" customHeight="true" outlineLevel="0" collapsed="false">
      <c r="A187" s="40"/>
      <c r="B187" s="54"/>
      <c r="C187" s="62" t="s">
        <v>33</v>
      </c>
      <c r="D187" s="36"/>
      <c r="E187" s="36"/>
      <c r="F187" s="37" t="n">
        <f aca="false">M187+N187+O187+P187+Q187+R187</f>
        <v>0</v>
      </c>
      <c r="G187" s="37" t="n">
        <v>0</v>
      </c>
      <c r="H187" s="37" t="n">
        <v>0</v>
      </c>
      <c r="I187" s="37" t="n">
        <v>0</v>
      </c>
      <c r="J187" s="37" t="n">
        <v>0</v>
      </c>
      <c r="K187" s="37" t="n">
        <v>0</v>
      </c>
      <c r="L187" s="37" t="n">
        <v>0</v>
      </c>
      <c r="M187" s="37" t="n">
        <v>0</v>
      </c>
      <c r="N187" s="37" t="n">
        <v>0</v>
      </c>
      <c r="O187" s="37" t="n">
        <v>0</v>
      </c>
      <c r="P187" s="37" t="n">
        <v>0</v>
      </c>
      <c r="Q187" s="37" t="n">
        <v>0</v>
      </c>
      <c r="R187" s="37" t="n">
        <v>0</v>
      </c>
      <c r="T187" s="49"/>
      <c r="U187" s="49"/>
      <c r="V187" s="49"/>
      <c r="W187" s="44"/>
    </row>
    <row r="188" s="42" customFormat="true" ht="39.55" hidden="false" customHeight="true" outlineLevel="0" collapsed="false">
      <c r="A188" s="40"/>
      <c r="B188" s="54"/>
      <c r="C188" s="62" t="s">
        <v>34</v>
      </c>
      <c r="D188" s="36"/>
      <c r="E188" s="36"/>
      <c r="F188" s="37" t="n">
        <f aca="false">M188+N188+O188+P188+Q188+R188</f>
        <v>0</v>
      </c>
      <c r="G188" s="37" t="n">
        <v>0</v>
      </c>
      <c r="H188" s="37" t="n">
        <v>0</v>
      </c>
      <c r="I188" s="37" t="n">
        <v>0</v>
      </c>
      <c r="J188" s="37" t="n">
        <v>0</v>
      </c>
      <c r="K188" s="37" t="n">
        <v>0</v>
      </c>
      <c r="L188" s="37" t="n">
        <v>0</v>
      </c>
      <c r="M188" s="37" t="n">
        <v>0</v>
      </c>
      <c r="N188" s="37" t="n">
        <v>0</v>
      </c>
      <c r="O188" s="37" t="n">
        <v>0</v>
      </c>
      <c r="P188" s="37" t="n">
        <v>0</v>
      </c>
      <c r="Q188" s="37" t="n">
        <v>0</v>
      </c>
      <c r="R188" s="37" t="n">
        <v>0</v>
      </c>
      <c r="T188" s="49"/>
      <c r="U188" s="49"/>
      <c r="V188" s="49"/>
      <c r="W188" s="44"/>
    </row>
    <row r="189" s="42" customFormat="true" ht="32.8" hidden="false" customHeight="true" outlineLevel="0" collapsed="false">
      <c r="A189" s="40"/>
      <c r="B189" s="54"/>
      <c r="C189" s="62" t="s">
        <v>35</v>
      </c>
      <c r="D189" s="36"/>
      <c r="E189" s="36"/>
      <c r="F189" s="37" t="n">
        <f aca="false">M189+N189+O189+P189+Q189+R189</f>
        <v>0</v>
      </c>
      <c r="G189" s="37" t="n">
        <v>0</v>
      </c>
      <c r="H189" s="37" t="n">
        <v>0</v>
      </c>
      <c r="I189" s="37" t="n">
        <v>0</v>
      </c>
      <c r="J189" s="37" t="n">
        <v>0</v>
      </c>
      <c r="K189" s="37" t="n">
        <v>0</v>
      </c>
      <c r="L189" s="37" t="n">
        <v>0</v>
      </c>
      <c r="M189" s="37" t="n">
        <v>0</v>
      </c>
      <c r="N189" s="37" t="n">
        <v>0</v>
      </c>
      <c r="O189" s="37" t="n">
        <v>0</v>
      </c>
      <c r="P189" s="37" t="n">
        <v>0</v>
      </c>
      <c r="Q189" s="37" t="n">
        <v>0</v>
      </c>
      <c r="R189" s="37" t="n">
        <v>0</v>
      </c>
      <c r="T189" s="49"/>
      <c r="U189" s="49"/>
      <c r="V189" s="49"/>
      <c r="W189" s="44"/>
    </row>
    <row r="190" s="42" customFormat="true" ht="73.1" hidden="false" customHeight="true" outlineLevel="0" collapsed="false">
      <c r="A190" s="40"/>
      <c r="B190" s="54"/>
      <c r="C190" s="62" t="s">
        <v>36</v>
      </c>
      <c r="D190" s="36"/>
      <c r="E190" s="36"/>
      <c r="F190" s="37" t="n">
        <f aca="false">M190+N190+O190+P190+Q190+R190</f>
        <v>0</v>
      </c>
      <c r="G190" s="37" t="n">
        <v>0</v>
      </c>
      <c r="H190" s="37" t="n">
        <v>0</v>
      </c>
      <c r="I190" s="37" t="n">
        <v>0</v>
      </c>
      <c r="J190" s="37" t="n">
        <v>0</v>
      </c>
      <c r="K190" s="37" t="n">
        <v>0</v>
      </c>
      <c r="L190" s="37" t="n">
        <v>0</v>
      </c>
      <c r="M190" s="37" t="n">
        <v>0</v>
      </c>
      <c r="N190" s="37" t="n">
        <v>0</v>
      </c>
      <c r="O190" s="37" t="n">
        <v>0</v>
      </c>
      <c r="P190" s="37" t="n">
        <v>0</v>
      </c>
      <c r="Q190" s="37" t="n">
        <v>0</v>
      </c>
      <c r="R190" s="37" t="n">
        <v>0</v>
      </c>
      <c r="T190" s="49"/>
      <c r="U190" s="49"/>
      <c r="V190" s="49"/>
      <c r="W190" s="44"/>
    </row>
    <row r="191" s="42" customFormat="true" ht="20.1" hidden="false" customHeight="true" outlineLevel="0" collapsed="false">
      <c r="A191" s="40" t="s">
        <v>94</v>
      </c>
      <c r="B191" s="54" t="s">
        <v>95</v>
      </c>
      <c r="C191" s="62" t="s">
        <v>30</v>
      </c>
      <c r="D191" s="36"/>
      <c r="E191" s="36"/>
      <c r="F191" s="37" t="n">
        <f aca="false">F192+F193+F194+F195+F196+F197</f>
        <v>1000</v>
      </c>
      <c r="G191" s="37" t="n">
        <f aca="false">G192+G193+G194+G195+G196+G197</f>
        <v>0</v>
      </c>
      <c r="H191" s="37" t="n">
        <f aca="false">H192+H193+H194+H195+H196+H197</f>
        <v>0</v>
      </c>
      <c r="I191" s="37" t="n">
        <f aca="false">I192+I193+I194+I195+I196+I197</f>
        <v>0</v>
      </c>
      <c r="J191" s="37" t="n">
        <f aca="false">J192+J193+J194+J195+J196+J197</f>
        <v>0</v>
      </c>
      <c r="K191" s="37" t="n">
        <f aca="false">K192+K193+K194+K195+K196+K197</f>
        <v>0</v>
      </c>
      <c r="L191" s="37" t="n">
        <f aca="false">L192+L193+L194+L195+L196+L197</f>
        <v>0</v>
      </c>
      <c r="M191" s="37" t="n">
        <f aca="false">M192+M193+M194+M195+M196+M197</f>
        <v>1000</v>
      </c>
      <c r="N191" s="37" t="n">
        <f aca="false">N192+N193+N194+N195+N196+N197</f>
        <v>0</v>
      </c>
      <c r="O191" s="37" t="n">
        <f aca="false">O192+O193+O194+O195+O196+O197</f>
        <v>0</v>
      </c>
      <c r="P191" s="37" t="n">
        <f aca="false">P192+P193+P194+P195+P196+P197</f>
        <v>0</v>
      </c>
      <c r="Q191" s="37" t="n">
        <f aca="false">Q192+Q193+Q194+Q195+Q196+Q197</f>
        <v>0</v>
      </c>
      <c r="R191" s="37" t="n">
        <f aca="false">R192+R193+R194+R195+R196+R197</f>
        <v>0</v>
      </c>
      <c r="T191" s="49"/>
      <c r="U191" s="49"/>
      <c r="V191" s="49"/>
      <c r="W191" s="44"/>
    </row>
    <row r="192" s="42" customFormat="true" ht="38.8" hidden="false" customHeight="true" outlineLevel="0" collapsed="false">
      <c r="A192" s="40"/>
      <c r="B192" s="54"/>
      <c r="C192" s="62" t="s">
        <v>31</v>
      </c>
      <c r="D192" s="36" t="s">
        <v>42</v>
      </c>
      <c r="E192" s="36" t="s">
        <v>43</v>
      </c>
      <c r="F192" s="37" t="n">
        <f aca="false">M192+N192+O192+P192+Q192+R192</f>
        <v>0</v>
      </c>
      <c r="G192" s="37" t="n">
        <v>0</v>
      </c>
      <c r="H192" s="37" t="n">
        <v>0</v>
      </c>
      <c r="I192" s="37" t="n">
        <v>0</v>
      </c>
      <c r="J192" s="37" t="n">
        <v>0</v>
      </c>
      <c r="K192" s="37" t="n">
        <v>0</v>
      </c>
      <c r="L192" s="37" t="n">
        <v>0</v>
      </c>
      <c r="M192" s="37" t="n">
        <v>0</v>
      </c>
      <c r="N192" s="37" t="n">
        <v>0</v>
      </c>
      <c r="O192" s="37" t="n">
        <v>0</v>
      </c>
      <c r="P192" s="37" t="n">
        <v>0</v>
      </c>
      <c r="Q192" s="37" t="n">
        <v>0</v>
      </c>
      <c r="R192" s="37" t="n">
        <v>0</v>
      </c>
      <c r="T192" s="49"/>
      <c r="U192" s="49"/>
      <c r="V192" s="49"/>
      <c r="W192" s="44"/>
    </row>
    <row r="193" s="42" customFormat="true" ht="26.1" hidden="false" customHeight="true" outlineLevel="0" collapsed="false">
      <c r="A193" s="40"/>
      <c r="B193" s="54"/>
      <c r="C193" s="62" t="s">
        <v>32</v>
      </c>
      <c r="D193" s="36" t="s">
        <v>42</v>
      </c>
      <c r="E193" s="36" t="s">
        <v>43</v>
      </c>
      <c r="F193" s="37" t="n">
        <f aca="false">M193+N193+O193+P193+Q193+R193</f>
        <v>1000</v>
      </c>
      <c r="G193" s="37" t="n">
        <v>0</v>
      </c>
      <c r="H193" s="37" t="n">
        <v>0</v>
      </c>
      <c r="I193" s="37" t="n">
        <v>0</v>
      </c>
      <c r="J193" s="37" t="n">
        <v>0</v>
      </c>
      <c r="K193" s="37" t="n">
        <v>0</v>
      </c>
      <c r="L193" s="37" t="n">
        <v>0</v>
      </c>
      <c r="M193" s="37" t="n">
        <v>1000</v>
      </c>
      <c r="N193" s="37" t="n">
        <v>0</v>
      </c>
      <c r="O193" s="37" t="n">
        <v>0</v>
      </c>
      <c r="P193" s="37" t="n">
        <v>0</v>
      </c>
      <c r="Q193" s="37" t="n">
        <v>0</v>
      </c>
      <c r="R193" s="37" t="n">
        <v>0</v>
      </c>
      <c r="T193" s="49"/>
      <c r="U193" s="49"/>
      <c r="V193" s="49"/>
      <c r="W193" s="44"/>
    </row>
    <row r="194" s="42" customFormat="true" ht="26.85" hidden="false" customHeight="true" outlineLevel="0" collapsed="false">
      <c r="A194" s="40"/>
      <c r="B194" s="54"/>
      <c r="C194" s="62" t="s">
        <v>33</v>
      </c>
      <c r="D194" s="36"/>
      <c r="E194" s="36"/>
      <c r="F194" s="37" t="n">
        <f aca="false">M194+N194+O194+P194+Q194+R194</f>
        <v>0</v>
      </c>
      <c r="G194" s="37" t="n">
        <v>0</v>
      </c>
      <c r="H194" s="37" t="n">
        <v>0</v>
      </c>
      <c r="I194" s="37" t="n">
        <v>0</v>
      </c>
      <c r="J194" s="37" t="n">
        <v>0</v>
      </c>
      <c r="K194" s="37" t="n">
        <v>0</v>
      </c>
      <c r="L194" s="37" t="n">
        <v>0</v>
      </c>
      <c r="M194" s="37" t="n">
        <v>0</v>
      </c>
      <c r="N194" s="37" t="n">
        <v>0</v>
      </c>
      <c r="O194" s="37" t="n">
        <v>0</v>
      </c>
      <c r="P194" s="37" t="n">
        <v>0</v>
      </c>
      <c r="Q194" s="37" t="n">
        <v>0</v>
      </c>
      <c r="R194" s="37" t="n">
        <v>0</v>
      </c>
      <c r="T194" s="49"/>
      <c r="U194" s="49"/>
      <c r="V194" s="49"/>
      <c r="W194" s="44"/>
    </row>
    <row r="195" s="42" customFormat="true" ht="38.05" hidden="false" customHeight="true" outlineLevel="0" collapsed="false">
      <c r="A195" s="40"/>
      <c r="B195" s="54"/>
      <c r="C195" s="62" t="s">
        <v>34</v>
      </c>
      <c r="D195" s="36"/>
      <c r="E195" s="36"/>
      <c r="F195" s="37" t="n">
        <f aca="false">M195+N195+O195+P195+Q195+R195</f>
        <v>0</v>
      </c>
      <c r="G195" s="37" t="n">
        <v>0</v>
      </c>
      <c r="H195" s="37" t="n">
        <v>0</v>
      </c>
      <c r="I195" s="37" t="n">
        <v>0</v>
      </c>
      <c r="J195" s="37" t="n">
        <v>0</v>
      </c>
      <c r="K195" s="37" t="n">
        <v>0</v>
      </c>
      <c r="L195" s="37" t="n">
        <v>0</v>
      </c>
      <c r="M195" s="37" t="n">
        <v>0</v>
      </c>
      <c r="N195" s="37" t="n">
        <v>0</v>
      </c>
      <c r="O195" s="37" t="n">
        <v>0</v>
      </c>
      <c r="P195" s="37" t="n">
        <v>0</v>
      </c>
      <c r="Q195" s="37" t="n">
        <v>0</v>
      </c>
      <c r="R195" s="37" t="n">
        <v>0</v>
      </c>
      <c r="T195" s="49"/>
      <c r="U195" s="49"/>
      <c r="V195" s="49"/>
      <c r="W195" s="44"/>
    </row>
    <row r="196" s="42" customFormat="true" ht="28.35" hidden="false" customHeight="true" outlineLevel="0" collapsed="false">
      <c r="A196" s="40"/>
      <c r="B196" s="54"/>
      <c r="C196" s="62" t="s">
        <v>35</v>
      </c>
      <c r="D196" s="36"/>
      <c r="E196" s="36"/>
      <c r="F196" s="37" t="n">
        <f aca="false">M196+N196+O196+P196+Q196+R196</f>
        <v>0</v>
      </c>
      <c r="G196" s="37" t="n">
        <v>0</v>
      </c>
      <c r="H196" s="37" t="n">
        <v>0</v>
      </c>
      <c r="I196" s="37" t="n">
        <v>0</v>
      </c>
      <c r="J196" s="37" t="n">
        <v>0</v>
      </c>
      <c r="K196" s="37" t="n">
        <v>0</v>
      </c>
      <c r="L196" s="37" t="n">
        <v>0</v>
      </c>
      <c r="M196" s="37" t="n">
        <v>0</v>
      </c>
      <c r="N196" s="37" t="n">
        <v>0</v>
      </c>
      <c r="O196" s="37" t="n">
        <v>0</v>
      </c>
      <c r="P196" s="37" t="n">
        <v>0</v>
      </c>
      <c r="Q196" s="37" t="n">
        <v>0</v>
      </c>
      <c r="R196" s="37" t="n">
        <v>0</v>
      </c>
      <c r="T196" s="49"/>
      <c r="U196" s="49"/>
      <c r="V196" s="49"/>
      <c r="W196" s="44"/>
    </row>
    <row r="197" s="42" customFormat="true" ht="72.35" hidden="false" customHeight="true" outlineLevel="0" collapsed="false">
      <c r="A197" s="40"/>
      <c r="B197" s="54"/>
      <c r="C197" s="62" t="s">
        <v>36</v>
      </c>
      <c r="D197" s="36"/>
      <c r="E197" s="36"/>
      <c r="F197" s="37" t="n">
        <f aca="false">M197+N197+O197+P197+Q197+R197</f>
        <v>0</v>
      </c>
      <c r="G197" s="37" t="n">
        <v>0</v>
      </c>
      <c r="H197" s="37" t="n">
        <v>0</v>
      </c>
      <c r="I197" s="37" t="n">
        <v>0</v>
      </c>
      <c r="J197" s="37" t="n">
        <v>0</v>
      </c>
      <c r="K197" s="37" t="n">
        <v>0</v>
      </c>
      <c r="L197" s="37" t="n">
        <v>0</v>
      </c>
      <c r="M197" s="37" t="n">
        <v>0</v>
      </c>
      <c r="N197" s="37" t="n">
        <v>0</v>
      </c>
      <c r="O197" s="37" t="n">
        <v>0</v>
      </c>
      <c r="P197" s="37" t="n">
        <v>0</v>
      </c>
      <c r="Q197" s="37" t="n">
        <v>0</v>
      </c>
      <c r="R197" s="37" t="n">
        <v>0</v>
      </c>
      <c r="T197" s="49"/>
      <c r="U197" s="49"/>
      <c r="V197" s="49"/>
      <c r="W197" s="44"/>
    </row>
    <row r="198" s="42" customFormat="true" ht="17.15" hidden="false" customHeight="true" outlineLevel="0" collapsed="false">
      <c r="A198" s="40" t="s">
        <v>96</v>
      </c>
      <c r="B198" s="54" t="s">
        <v>97</v>
      </c>
      <c r="C198" s="62" t="s">
        <v>30</v>
      </c>
      <c r="D198" s="36"/>
      <c r="E198" s="36"/>
      <c r="F198" s="37" t="n">
        <f aca="false">F199+F200+F201+F202+F203+F204</f>
        <v>177430.30303</v>
      </c>
      <c r="G198" s="37" t="n">
        <f aca="false">G199+G200+G201+G202+G203+G204</f>
        <v>0</v>
      </c>
      <c r="H198" s="37" t="n">
        <f aca="false">H199+H200+H201+H202+H203+H204</f>
        <v>0</v>
      </c>
      <c r="I198" s="37" t="n">
        <f aca="false">I199+I200+I201+I202+I203+I204</f>
        <v>0</v>
      </c>
      <c r="J198" s="37" t="n">
        <f aca="false">J199+J200+J201+J202+J203+J204</f>
        <v>0</v>
      </c>
      <c r="K198" s="37" t="n">
        <f aca="false">K199+K200+K201+K202+K203+K204</f>
        <v>0</v>
      </c>
      <c r="L198" s="37" t="n">
        <f aca="false">L199+L200+L201+L202+L203+L204</f>
        <v>0</v>
      </c>
      <c r="M198" s="37" t="n">
        <f aca="false">M199+M200+M201+M202+M203+M204</f>
        <v>0</v>
      </c>
      <c r="N198" s="37" t="n">
        <f aca="false">N199+N200+N201+N202+N203+N204</f>
        <v>0</v>
      </c>
      <c r="O198" s="37" t="n">
        <f aca="false">O199+O200+O201+O202+O203+O204</f>
        <v>0</v>
      </c>
      <c r="P198" s="37" t="n">
        <f aca="false">P199+P200+P201+P202+P203+P204</f>
        <v>177430.30303</v>
      </c>
      <c r="Q198" s="37" t="n">
        <f aca="false">Q199+Q200+Q201+Q202+Q203+Q204</f>
        <v>0</v>
      </c>
      <c r="R198" s="37" t="n">
        <f aca="false">R199+R200+R201+R202+R203+R204</f>
        <v>0</v>
      </c>
      <c r="T198" s="49"/>
      <c r="U198" s="49"/>
      <c r="V198" s="49"/>
      <c r="W198" s="44"/>
    </row>
    <row r="199" s="42" customFormat="true" ht="38.05" hidden="false" customHeight="true" outlineLevel="0" collapsed="false">
      <c r="A199" s="40"/>
      <c r="B199" s="54"/>
      <c r="C199" s="62" t="s">
        <v>31</v>
      </c>
      <c r="D199" s="36" t="s">
        <v>42</v>
      </c>
      <c r="E199" s="36" t="s">
        <v>43</v>
      </c>
      <c r="F199" s="37" t="n">
        <f aca="false">M199+N199+O199+P199+Q199+R199</f>
        <v>175656</v>
      </c>
      <c r="G199" s="37" t="n">
        <v>0</v>
      </c>
      <c r="H199" s="37" t="n">
        <v>0</v>
      </c>
      <c r="I199" s="37" t="n">
        <v>0</v>
      </c>
      <c r="J199" s="37" t="n">
        <v>0</v>
      </c>
      <c r="K199" s="37" t="n">
        <v>0</v>
      </c>
      <c r="L199" s="37" t="n">
        <v>0</v>
      </c>
      <c r="M199" s="37" t="n">
        <v>0</v>
      </c>
      <c r="N199" s="37" t="n">
        <v>0</v>
      </c>
      <c r="O199" s="37" t="n">
        <v>0</v>
      </c>
      <c r="P199" s="37" t="n">
        <v>175656</v>
      </c>
      <c r="Q199" s="37" t="n">
        <v>0</v>
      </c>
      <c r="R199" s="37" t="n">
        <v>0</v>
      </c>
      <c r="T199" s="49"/>
      <c r="U199" s="49"/>
      <c r="V199" s="49"/>
      <c r="W199" s="44"/>
    </row>
    <row r="200" s="42" customFormat="true" ht="26.85" hidden="false" customHeight="true" outlineLevel="0" collapsed="false">
      <c r="A200" s="40"/>
      <c r="B200" s="54"/>
      <c r="C200" s="62" t="s">
        <v>32</v>
      </c>
      <c r="D200" s="36" t="s">
        <v>42</v>
      </c>
      <c r="E200" s="36" t="s">
        <v>43</v>
      </c>
      <c r="F200" s="37" t="n">
        <f aca="false">M200+N200+O200+P200+Q200+R200</f>
        <v>1774.30303</v>
      </c>
      <c r="G200" s="37" t="n">
        <v>0</v>
      </c>
      <c r="H200" s="37" t="n">
        <v>0</v>
      </c>
      <c r="I200" s="37" t="n">
        <v>0</v>
      </c>
      <c r="J200" s="37" t="n">
        <v>0</v>
      </c>
      <c r="K200" s="37" t="n">
        <v>0</v>
      </c>
      <c r="L200" s="37" t="n">
        <v>0</v>
      </c>
      <c r="M200" s="37" t="n">
        <v>0</v>
      </c>
      <c r="N200" s="37" t="n">
        <v>0</v>
      </c>
      <c r="O200" s="37" t="n">
        <v>0</v>
      </c>
      <c r="P200" s="37" t="n">
        <v>1774.30303</v>
      </c>
      <c r="Q200" s="37" t="n">
        <v>0</v>
      </c>
      <c r="R200" s="37" t="n">
        <v>0</v>
      </c>
      <c r="T200" s="49"/>
      <c r="U200" s="49"/>
      <c r="V200" s="49"/>
      <c r="W200" s="44"/>
    </row>
    <row r="201" s="42" customFormat="true" ht="28.35" hidden="false" customHeight="true" outlineLevel="0" collapsed="false">
      <c r="A201" s="40"/>
      <c r="B201" s="54"/>
      <c r="C201" s="62" t="s">
        <v>33</v>
      </c>
      <c r="D201" s="36"/>
      <c r="E201" s="36"/>
      <c r="F201" s="37" t="n">
        <f aca="false">M201+N201+O201+P201+Q201+R201</f>
        <v>0</v>
      </c>
      <c r="G201" s="37" t="n">
        <v>0</v>
      </c>
      <c r="H201" s="37" t="n">
        <v>0</v>
      </c>
      <c r="I201" s="37" t="n">
        <v>0</v>
      </c>
      <c r="J201" s="37" t="n">
        <v>0</v>
      </c>
      <c r="K201" s="37" t="n">
        <v>0</v>
      </c>
      <c r="L201" s="37" t="n">
        <v>0</v>
      </c>
      <c r="M201" s="37" t="n">
        <v>0</v>
      </c>
      <c r="N201" s="37" t="n">
        <v>0</v>
      </c>
      <c r="O201" s="37" t="n">
        <v>0</v>
      </c>
      <c r="P201" s="37" t="n">
        <v>0</v>
      </c>
      <c r="Q201" s="37" t="n">
        <v>0</v>
      </c>
      <c r="R201" s="37" t="n">
        <v>0</v>
      </c>
      <c r="T201" s="49"/>
      <c r="U201" s="49"/>
      <c r="V201" s="49"/>
      <c r="W201" s="44"/>
    </row>
    <row r="202" s="42" customFormat="true" ht="36.75" hidden="false" customHeight="true" outlineLevel="0" collapsed="false">
      <c r="A202" s="40"/>
      <c r="B202" s="54"/>
      <c r="C202" s="62" t="s">
        <v>34</v>
      </c>
      <c r="D202" s="36"/>
      <c r="E202" s="36"/>
      <c r="F202" s="37" t="n">
        <f aca="false">M202+N202+O202+P202+Q202+R202</f>
        <v>0</v>
      </c>
      <c r="G202" s="37" t="n">
        <v>0</v>
      </c>
      <c r="H202" s="37" t="n">
        <v>0</v>
      </c>
      <c r="I202" s="37" t="n">
        <v>0</v>
      </c>
      <c r="J202" s="37" t="n">
        <v>0</v>
      </c>
      <c r="K202" s="37" t="n">
        <v>0</v>
      </c>
      <c r="L202" s="37" t="n">
        <v>0</v>
      </c>
      <c r="M202" s="37" t="n">
        <v>0</v>
      </c>
      <c r="N202" s="37" t="n">
        <v>0</v>
      </c>
      <c r="O202" s="37" t="n">
        <v>0</v>
      </c>
      <c r="P202" s="37" t="n">
        <v>0</v>
      </c>
      <c r="Q202" s="37" t="n">
        <v>0</v>
      </c>
      <c r="R202" s="37" t="n">
        <v>0</v>
      </c>
      <c r="T202" s="49"/>
      <c r="U202" s="49"/>
      <c r="V202" s="49"/>
      <c r="W202" s="44"/>
    </row>
    <row r="203" s="42" customFormat="true" ht="30.55" hidden="false" customHeight="true" outlineLevel="0" collapsed="false">
      <c r="A203" s="40"/>
      <c r="B203" s="54"/>
      <c r="C203" s="62" t="s">
        <v>35</v>
      </c>
      <c r="D203" s="36"/>
      <c r="E203" s="36"/>
      <c r="F203" s="37" t="n">
        <f aca="false">M203+N203+O203+P203+Q203+R203</f>
        <v>0</v>
      </c>
      <c r="G203" s="37" t="n">
        <v>0</v>
      </c>
      <c r="H203" s="37" t="n">
        <v>0</v>
      </c>
      <c r="I203" s="37" t="n">
        <v>0</v>
      </c>
      <c r="J203" s="37" t="n">
        <v>0</v>
      </c>
      <c r="K203" s="37" t="n">
        <v>0</v>
      </c>
      <c r="L203" s="37" t="n">
        <v>0</v>
      </c>
      <c r="M203" s="37" t="n">
        <v>0</v>
      </c>
      <c r="N203" s="37" t="n">
        <v>0</v>
      </c>
      <c r="O203" s="37" t="n">
        <v>0</v>
      </c>
      <c r="P203" s="37" t="n">
        <v>0</v>
      </c>
      <c r="Q203" s="37" t="n">
        <v>0</v>
      </c>
      <c r="R203" s="37" t="n">
        <v>0</v>
      </c>
      <c r="T203" s="49"/>
      <c r="U203" s="49"/>
      <c r="V203" s="49"/>
      <c r="W203" s="44"/>
    </row>
    <row r="204" s="42" customFormat="true" ht="73.1" hidden="false" customHeight="true" outlineLevel="0" collapsed="false">
      <c r="A204" s="40"/>
      <c r="B204" s="54"/>
      <c r="C204" s="62" t="s">
        <v>36</v>
      </c>
      <c r="D204" s="36"/>
      <c r="E204" s="36"/>
      <c r="F204" s="37" t="n">
        <f aca="false">M204+N204+O204+P204+Q204+R204</f>
        <v>0</v>
      </c>
      <c r="G204" s="37" t="n">
        <v>0</v>
      </c>
      <c r="H204" s="37" t="n">
        <v>0</v>
      </c>
      <c r="I204" s="37" t="n">
        <v>0</v>
      </c>
      <c r="J204" s="37" t="n">
        <v>0</v>
      </c>
      <c r="K204" s="37" t="n">
        <v>0</v>
      </c>
      <c r="L204" s="37" t="n">
        <v>0</v>
      </c>
      <c r="M204" s="37" t="n">
        <v>0</v>
      </c>
      <c r="N204" s="37" t="n">
        <v>0</v>
      </c>
      <c r="O204" s="37" t="n">
        <v>0</v>
      </c>
      <c r="P204" s="37" t="n">
        <v>0</v>
      </c>
      <c r="Q204" s="37" t="n">
        <v>0</v>
      </c>
      <c r="R204" s="37" t="n">
        <v>0</v>
      </c>
      <c r="T204" s="49"/>
      <c r="U204" s="49"/>
      <c r="V204" s="49"/>
      <c r="W204" s="44"/>
    </row>
    <row r="205" s="42" customFormat="true" ht="16.4" hidden="false" customHeight="true" outlineLevel="0" collapsed="false">
      <c r="A205" s="40" t="s">
        <v>98</v>
      </c>
      <c r="B205" s="41" t="s">
        <v>99</v>
      </c>
      <c r="C205" s="62" t="s">
        <v>30</v>
      </c>
      <c r="D205" s="36" t="s">
        <v>42</v>
      </c>
      <c r="E205" s="36" t="s">
        <v>43</v>
      </c>
      <c r="F205" s="37" t="n">
        <f aca="false">SUM(G205:R205)</f>
        <v>5526.4</v>
      </c>
      <c r="G205" s="37" t="n">
        <f aca="false">SUM(G206:G211)</f>
        <v>0</v>
      </c>
      <c r="H205" s="37" t="n">
        <f aca="false">SUM(H206:H211)</f>
        <v>0</v>
      </c>
      <c r="I205" s="37" t="n">
        <f aca="false">SUM(I206:I211)</f>
        <v>0</v>
      </c>
      <c r="J205" s="37" t="n">
        <f aca="false">SUM(J206:J211)</f>
        <v>0</v>
      </c>
      <c r="K205" s="37" t="n">
        <f aca="false">SUM(K206:K211)</f>
        <v>0</v>
      </c>
      <c r="L205" s="37" t="n">
        <f aca="false">SUM(L206:L211)</f>
        <v>0</v>
      </c>
      <c r="M205" s="37" t="n">
        <f aca="false">SUM(M206:M211)</f>
        <v>5526.4</v>
      </c>
      <c r="N205" s="37" t="n">
        <f aca="false">SUM(N206:N211)</f>
        <v>0</v>
      </c>
      <c r="O205" s="37" t="n">
        <f aca="false">SUM(O206:O211)</f>
        <v>0</v>
      </c>
      <c r="P205" s="37" t="n">
        <f aca="false">SUM(P206:P211)</f>
        <v>0</v>
      </c>
      <c r="Q205" s="37" t="n">
        <f aca="false">SUM(Q206:Q211)</f>
        <v>0</v>
      </c>
      <c r="R205" s="37" t="n">
        <f aca="false">SUM(R206:R211)</f>
        <v>0</v>
      </c>
      <c r="T205" s="49"/>
      <c r="U205" s="49"/>
      <c r="V205" s="49"/>
      <c r="W205" s="44"/>
    </row>
    <row r="206" s="42" customFormat="true" ht="38.05" hidden="false" customHeight="true" outlineLevel="0" collapsed="false">
      <c r="A206" s="40"/>
      <c r="B206" s="41"/>
      <c r="C206" s="62" t="s">
        <v>31</v>
      </c>
      <c r="D206" s="36"/>
      <c r="E206" s="36"/>
      <c r="F206" s="37" t="n">
        <f aca="false">SUM(G206:R206)</f>
        <v>0</v>
      </c>
      <c r="G206" s="37" t="n">
        <v>0</v>
      </c>
      <c r="H206" s="37" t="n">
        <v>0</v>
      </c>
      <c r="I206" s="37" t="n">
        <v>0</v>
      </c>
      <c r="J206" s="37" t="n">
        <v>0</v>
      </c>
      <c r="K206" s="37" t="n">
        <v>0</v>
      </c>
      <c r="L206" s="37" t="n">
        <v>0</v>
      </c>
      <c r="M206" s="37" t="n">
        <v>0</v>
      </c>
      <c r="N206" s="37" t="n">
        <v>0</v>
      </c>
      <c r="O206" s="37" t="n">
        <v>0</v>
      </c>
      <c r="P206" s="37" t="n">
        <v>0</v>
      </c>
      <c r="Q206" s="37" t="n">
        <v>0</v>
      </c>
      <c r="R206" s="37" t="n">
        <v>0</v>
      </c>
      <c r="T206" s="49"/>
      <c r="U206" s="49"/>
      <c r="V206" s="49"/>
      <c r="W206" s="44"/>
    </row>
    <row r="207" s="42" customFormat="true" ht="29.1" hidden="false" customHeight="true" outlineLevel="0" collapsed="false">
      <c r="A207" s="40"/>
      <c r="B207" s="41"/>
      <c r="C207" s="62" t="s">
        <v>32</v>
      </c>
      <c r="D207" s="36"/>
      <c r="E207" s="36"/>
      <c r="F207" s="37" t="n">
        <f aca="false">SUM(G207:R207)</f>
        <v>5526.4</v>
      </c>
      <c r="G207" s="37" t="n">
        <v>0</v>
      </c>
      <c r="H207" s="37" t="n">
        <v>0</v>
      </c>
      <c r="I207" s="37" t="n">
        <v>0</v>
      </c>
      <c r="J207" s="37" t="n">
        <v>0</v>
      </c>
      <c r="K207" s="37" t="n">
        <v>0</v>
      </c>
      <c r="L207" s="37" t="n">
        <v>0</v>
      </c>
      <c r="M207" s="37" t="n">
        <v>5526.4</v>
      </c>
      <c r="N207" s="37" t="n">
        <v>0</v>
      </c>
      <c r="O207" s="37" t="n">
        <v>0</v>
      </c>
      <c r="P207" s="37" t="n">
        <v>0</v>
      </c>
      <c r="Q207" s="37" t="n">
        <v>0</v>
      </c>
      <c r="R207" s="37" t="n">
        <v>0</v>
      </c>
      <c r="T207" s="49"/>
      <c r="U207" s="49"/>
      <c r="V207" s="49"/>
      <c r="W207" s="44"/>
    </row>
    <row r="208" s="42" customFormat="true" ht="26.1" hidden="false" customHeight="true" outlineLevel="0" collapsed="false">
      <c r="A208" s="40"/>
      <c r="B208" s="41"/>
      <c r="C208" s="62" t="s">
        <v>33</v>
      </c>
      <c r="D208" s="36"/>
      <c r="E208" s="36"/>
      <c r="F208" s="37" t="n">
        <f aca="false">SUM(G208:R208)</f>
        <v>0</v>
      </c>
      <c r="G208" s="37" t="n">
        <v>0</v>
      </c>
      <c r="H208" s="37" t="n">
        <v>0</v>
      </c>
      <c r="I208" s="37" t="n">
        <v>0</v>
      </c>
      <c r="J208" s="37" t="n">
        <v>0</v>
      </c>
      <c r="K208" s="37" t="n">
        <v>0</v>
      </c>
      <c r="L208" s="37" t="n">
        <v>0</v>
      </c>
      <c r="M208" s="37" t="n">
        <v>0</v>
      </c>
      <c r="N208" s="37" t="n">
        <v>0</v>
      </c>
      <c r="O208" s="37" t="n">
        <v>0</v>
      </c>
      <c r="P208" s="37" t="n">
        <v>0</v>
      </c>
      <c r="Q208" s="37" t="n">
        <v>0</v>
      </c>
      <c r="R208" s="37" t="n">
        <v>0</v>
      </c>
      <c r="T208" s="49"/>
      <c r="U208" s="49"/>
      <c r="V208" s="49"/>
      <c r="W208" s="44"/>
    </row>
    <row r="209" s="42" customFormat="true" ht="41" hidden="false" customHeight="true" outlineLevel="0" collapsed="false">
      <c r="A209" s="40"/>
      <c r="B209" s="41"/>
      <c r="C209" s="62" t="s">
        <v>34</v>
      </c>
      <c r="D209" s="36"/>
      <c r="E209" s="36"/>
      <c r="F209" s="37" t="n">
        <f aca="false">SUM(G209:R209)</f>
        <v>0</v>
      </c>
      <c r="G209" s="37" t="n">
        <v>0</v>
      </c>
      <c r="H209" s="37" t="n">
        <v>0</v>
      </c>
      <c r="I209" s="37" t="n">
        <v>0</v>
      </c>
      <c r="J209" s="37" t="n">
        <v>0</v>
      </c>
      <c r="K209" s="37" t="n">
        <v>0</v>
      </c>
      <c r="L209" s="37" t="n">
        <v>0</v>
      </c>
      <c r="M209" s="37" t="n">
        <v>0</v>
      </c>
      <c r="N209" s="37" t="n">
        <v>0</v>
      </c>
      <c r="O209" s="37" t="n">
        <v>0</v>
      </c>
      <c r="P209" s="37" t="n">
        <v>0</v>
      </c>
      <c r="Q209" s="37" t="n">
        <v>0</v>
      </c>
      <c r="R209" s="37" t="n">
        <v>0</v>
      </c>
      <c r="T209" s="49"/>
      <c r="U209" s="49"/>
      <c r="V209" s="49"/>
      <c r="W209" s="44"/>
    </row>
    <row r="210" s="42" customFormat="true" ht="29.1" hidden="false" customHeight="true" outlineLevel="0" collapsed="false">
      <c r="A210" s="40"/>
      <c r="B210" s="41"/>
      <c r="C210" s="62" t="s">
        <v>35</v>
      </c>
      <c r="D210" s="36"/>
      <c r="E210" s="36"/>
      <c r="F210" s="37" t="n">
        <f aca="false">SUM(G210:R210)</f>
        <v>0</v>
      </c>
      <c r="G210" s="37" t="n">
        <v>0</v>
      </c>
      <c r="H210" s="37" t="n">
        <v>0</v>
      </c>
      <c r="I210" s="37" t="n">
        <v>0</v>
      </c>
      <c r="J210" s="37" t="n">
        <v>0</v>
      </c>
      <c r="K210" s="37" t="n">
        <v>0</v>
      </c>
      <c r="L210" s="37" t="n">
        <v>0</v>
      </c>
      <c r="M210" s="37" t="n">
        <v>0</v>
      </c>
      <c r="N210" s="37" t="n">
        <v>0</v>
      </c>
      <c r="O210" s="37" t="n">
        <v>0</v>
      </c>
      <c r="P210" s="37" t="n">
        <v>0</v>
      </c>
      <c r="Q210" s="37" t="n">
        <v>0</v>
      </c>
      <c r="R210" s="37" t="n">
        <v>0</v>
      </c>
      <c r="T210" s="49"/>
      <c r="U210" s="49"/>
      <c r="V210" s="49"/>
      <c r="W210" s="44"/>
    </row>
    <row r="211" s="42" customFormat="true" ht="73.85" hidden="false" customHeight="true" outlineLevel="0" collapsed="false">
      <c r="A211" s="40"/>
      <c r="B211" s="41"/>
      <c r="C211" s="62" t="s">
        <v>36</v>
      </c>
      <c r="D211" s="36"/>
      <c r="E211" s="36"/>
      <c r="F211" s="37" t="n">
        <f aca="false">SUM(G211:R211)</f>
        <v>0</v>
      </c>
      <c r="G211" s="37" t="n">
        <v>0</v>
      </c>
      <c r="H211" s="37" t="n">
        <v>0</v>
      </c>
      <c r="I211" s="37" t="n">
        <v>0</v>
      </c>
      <c r="J211" s="37" t="n">
        <v>0</v>
      </c>
      <c r="K211" s="37" t="n">
        <v>0</v>
      </c>
      <c r="L211" s="37" t="n">
        <v>0</v>
      </c>
      <c r="M211" s="37" t="n">
        <v>0</v>
      </c>
      <c r="N211" s="37" t="n">
        <v>0</v>
      </c>
      <c r="O211" s="37" t="n">
        <v>0</v>
      </c>
      <c r="P211" s="37" t="n">
        <v>0</v>
      </c>
      <c r="Q211" s="37" t="n">
        <v>0</v>
      </c>
      <c r="R211" s="37" t="n">
        <v>0</v>
      </c>
      <c r="T211" s="49"/>
      <c r="U211" s="49"/>
      <c r="V211" s="49"/>
      <c r="W211" s="44"/>
    </row>
    <row r="212" s="42" customFormat="true" ht="22.35" hidden="false" customHeight="true" outlineLevel="0" collapsed="false">
      <c r="A212" s="40" t="s">
        <v>100</v>
      </c>
      <c r="B212" s="68" t="s">
        <v>101</v>
      </c>
      <c r="C212" s="62" t="s">
        <v>30</v>
      </c>
      <c r="D212" s="36"/>
      <c r="E212" s="36"/>
      <c r="F212" s="37" t="n">
        <f aca="false">SUM(G212:R212)</f>
        <v>3257023.36546</v>
      </c>
      <c r="G212" s="37" t="n">
        <f aca="false">SUM(G213:G219)</f>
        <v>0</v>
      </c>
      <c r="H212" s="37" t="n">
        <f aca="false">SUM(H213:H219)</f>
        <v>0</v>
      </c>
      <c r="I212" s="37" t="n">
        <f aca="false">SUM(I213:I219)</f>
        <v>0</v>
      </c>
      <c r="J212" s="37" t="n">
        <f aca="false">SUM(J213:J219)</f>
        <v>0</v>
      </c>
      <c r="K212" s="37" t="n">
        <f aca="false">SUM(K213:K219)</f>
        <v>0</v>
      </c>
      <c r="L212" s="37" t="n">
        <f aca="false">SUM(L213:L219)</f>
        <v>870551.86885</v>
      </c>
      <c r="M212" s="37" t="n">
        <f aca="false">SUM(M213:M219)</f>
        <v>1665806.22267</v>
      </c>
      <c r="N212" s="37" t="n">
        <f aca="false">SUM(N213:N219)</f>
        <v>522747.59085</v>
      </c>
      <c r="O212" s="37" t="n">
        <f aca="false">SUM(O213:O219)</f>
        <v>197917.68309</v>
      </c>
      <c r="P212" s="37" t="n">
        <f aca="false">SUM(P213:P219)</f>
        <v>0</v>
      </c>
      <c r="Q212" s="37" t="n">
        <f aca="false">SUM(Q213:Q219)</f>
        <v>0</v>
      </c>
      <c r="R212" s="37" t="n">
        <f aca="false">SUM(R213:R219)</f>
        <v>0</v>
      </c>
      <c r="T212" s="49"/>
      <c r="U212" s="49"/>
      <c r="V212" s="49"/>
      <c r="W212" s="44"/>
    </row>
    <row r="213" s="42" customFormat="true" ht="37.5" hidden="false" customHeight="true" outlineLevel="0" collapsed="false">
      <c r="A213" s="40"/>
      <c r="B213" s="68"/>
      <c r="C213" s="62" t="s">
        <v>31</v>
      </c>
      <c r="D213" s="36" t="s">
        <v>42</v>
      </c>
      <c r="E213" s="36" t="s">
        <v>43</v>
      </c>
      <c r="F213" s="37" t="n">
        <f aca="false">SUM(G213:R213)</f>
        <v>1312568.149</v>
      </c>
      <c r="G213" s="37" t="n">
        <v>0</v>
      </c>
      <c r="H213" s="37" t="n">
        <v>0</v>
      </c>
      <c r="I213" s="37" t="n">
        <v>0</v>
      </c>
      <c r="J213" s="37" t="n">
        <v>0</v>
      </c>
      <c r="K213" s="37" t="n">
        <v>0</v>
      </c>
      <c r="L213" s="37" t="n">
        <f aca="false">L221+L228</f>
        <v>611580.09</v>
      </c>
      <c r="M213" s="37" t="n">
        <f aca="false">M221+M228+M238</f>
        <v>347468.82</v>
      </c>
      <c r="N213" s="37" t="n">
        <f aca="false">N221+N228</f>
        <v>353519.239</v>
      </c>
      <c r="O213" s="37" t="n">
        <f aca="false">O221+O228</f>
        <v>0</v>
      </c>
      <c r="P213" s="37" t="n">
        <f aca="false">P221+P228</f>
        <v>0</v>
      </c>
      <c r="Q213" s="37" t="n">
        <f aca="false">Q221+Q228</f>
        <v>0</v>
      </c>
      <c r="R213" s="37" t="n">
        <f aca="false">R221+R228</f>
        <v>0</v>
      </c>
      <c r="S213" s="53"/>
      <c r="T213" s="49"/>
      <c r="U213" s="49"/>
      <c r="V213" s="49"/>
      <c r="W213" s="44"/>
    </row>
    <row r="214" s="42" customFormat="true" ht="27.6" hidden="false" customHeight="true" outlineLevel="0" collapsed="false">
      <c r="A214" s="40"/>
      <c r="B214" s="68"/>
      <c r="C214" s="62" t="s">
        <v>32</v>
      </c>
      <c r="D214" s="36" t="s">
        <v>42</v>
      </c>
      <c r="E214" s="36" t="s">
        <v>43</v>
      </c>
      <c r="F214" s="37" t="n">
        <f aca="false">SUM(G214:R214)</f>
        <v>944574.02501</v>
      </c>
      <c r="G214" s="37" t="n">
        <v>0</v>
      </c>
      <c r="H214" s="37" t="n">
        <v>0</v>
      </c>
      <c r="I214" s="37" t="n">
        <v>0</v>
      </c>
      <c r="J214" s="37" t="n">
        <v>0</v>
      </c>
      <c r="K214" s="37" t="n">
        <v>0</v>
      </c>
      <c r="L214" s="37" t="n">
        <f aca="false">L222+L229</f>
        <v>93559.74303</v>
      </c>
      <c r="M214" s="37" t="n">
        <f aca="false">M222+M229+M239</f>
        <v>573064.94518</v>
      </c>
      <c r="N214" s="37" t="n">
        <f aca="false">N222+N229</f>
        <v>80031.65371</v>
      </c>
      <c r="O214" s="37" t="n">
        <f aca="false">O229</f>
        <v>197917.68309</v>
      </c>
      <c r="P214" s="37" t="n">
        <f aca="false">P222+P229</f>
        <v>0</v>
      </c>
      <c r="Q214" s="37" t="n">
        <f aca="false">Q222+Q229</f>
        <v>0</v>
      </c>
      <c r="R214" s="37" t="n">
        <f aca="false">R222+R229</f>
        <v>0</v>
      </c>
      <c r="T214" s="49" t="s">
        <v>102</v>
      </c>
      <c r="U214" s="49"/>
      <c r="V214" s="49"/>
      <c r="W214" s="44"/>
    </row>
    <row r="215" s="42" customFormat="true" ht="28.35" hidden="false" customHeight="true" outlineLevel="0" collapsed="false">
      <c r="A215" s="40"/>
      <c r="B215" s="68"/>
      <c r="C215" s="62" t="s">
        <v>33</v>
      </c>
      <c r="D215" s="36"/>
      <c r="E215" s="36"/>
      <c r="F215" s="37" t="n">
        <f aca="false">SUM(G215:R215)</f>
        <v>1746.16713</v>
      </c>
      <c r="G215" s="37" t="n">
        <v>0</v>
      </c>
      <c r="H215" s="37" t="n">
        <v>0</v>
      </c>
      <c r="I215" s="37" t="n">
        <v>0</v>
      </c>
      <c r="J215" s="37" t="n">
        <v>0</v>
      </c>
      <c r="K215" s="37" t="n">
        <v>0</v>
      </c>
      <c r="L215" s="37" t="n">
        <f aca="false">L223+L230</f>
        <v>1746.16713</v>
      </c>
      <c r="M215" s="37" t="n">
        <f aca="false">M223+M230</f>
        <v>0</v>
      </c>
      <c r="N215" s="37" t="n">
        <f aca="false">N223+N230</f>
        <v>0</v>
      </c>
      <c r="O215" s="37" t="n">
        <f aca="false">O223+O230</f>
        <v>0</v>
      </c>
      <c r="P215" s="37" t="n">
        <f aca="false">P223+P230</f>
        <v>0</v>
      </c>
      <c r="Q215" s="37" t="n">
        <f aca="false">Q223+Q230</f>
        <v>0</v>
      </c>
      <c r="R215" s="37" t="n">
        <f aca="false">R223+R230</f>
        <v>0</v>
      </c>
      <c r="T215" s="49"/>
      <c r="U215" s="49"/>
      <c r="V215" s="49"/>
      <c r="W215" s="44"/>
    </row>
    <row r="216" s="42" customFormat="true" ht="38.8" hidden="false" customHeight="true" outlineLevel="0" collapsed="false">
      <c r="A216" s="40"/>
      <c r="B216" s="68"/>
      <c r="C216" s="62" t="s">
        <v>31</v>
      </c>
      <c r="D216" s="36" t="s">
        <v>58</v>
      </c>
      <c r="E216" s="36" t="s">
        <v>43</v>
      </c>
      <c r="F216" s="37" t="n">
        <f aca="false">SUM(G216:R216)</f>
        <v>473262.451</v>
      </c>
      <c r="G216" s="37" t="n">
        <v>0</v>
      </c>
      <c r="H216" s="37" t="n">
        <v>0</v>
      </c>
      <c r="I216" s="37" t="n">
        <v>0</v>
      </c>
      <c r="J216" s="37" t="n">
        <v>0</v>
      </c>
      <c r="K216" s="37" t="n">
        <v>0</v>
      </c>
      <c r="L216" s="37" t="n">
        <f aca="false">L231</f>
        <v>162029.21</v>
      </c>
      <c r="M216" s="37" t="n">
        <f aca="false">M231</f>
        <v>233024.38</v>
      </c>
      <c r="N216" s="37" t="n">
        <f aca="false">N231</f>
        <v>78208.861</v>
      </c>
      <c r="O216" s="37" t="n">
        <f aca="false">O231</f>
        <v>0</v>
      </c>
      <c r="P216" s="37" t="n">
        <f aca="false">P231</f>
        <v>0</v>
      </c>
      <c r="Q216" s="37" t="n">
        <f aca="false">Q231</f>
        <v>0</v>
      </c>
      <c r="R216" s="37" t="n">
        <f aca="false">R231</f>
        <v>0</v>
      </c>
      <c r="T216" s="49"/>
      <c r="U216" s="49"/>
      <c r="V216" s="49"/>
      <c r="W216" s="44"/>
    </row>
    <row r="217" s="42" customFormat="true" ht="31.3" hidden="false" customHeight="true" outlineLevel="0" collapsed="false">
      <c r="A217" s="40"/>
      <c r="B217" s="68"/>
      <c r="C217" s="62" t="s">
        <v>32</v>
      </c>
      <c r="D217" s="36" t="s">
        <v>58</v>
      </c>
      <c r="E217" s="36" t="s">
        <v>43</v>
      </c>
      <c r="F217" s="37" t="n">
        <f aca="false">SUM(G217:R217)</f>
        <v>524872.57332</v>
      </c>
      <c r="G217" s="37" t="n">
        <v>0</v>
      </c>
      <c r="H217" s="37" t="n">
        <v>0</v>
      </c>
      <c r="I217" s="37" t="n">
        <v>0</v>
      </c>
      <c r="J217" s="37" t="n">
        <v>0</v>
      </c>
      <c r="K217" s="37" t="n">
        <v>0</v>
      </c>
      <c r="L217" s="37" t="n">
        <f aca="false">L232</f>
        <v>1636.65869</v>
      </c>
      <c r="M217" s="37" t="n">
        <f aca="false">M232</f>
        <v>512248.07749</v>
      </c>
      <c r="N217" s="37" t="n">
        <f aca="false">N232</f>
        <v>10987.83714</v>
      </c>
      <c r="O217" s="37" t="n">
        <f aca="false">O232</f>
        <v>0</v>
      </c>
      <c r="P217" s="37" t="n">
        <f aca="false">P232</f>
        <v>0</v>
      </c>
      <c r="Q217" s="37" t="n">
        <f aca="false">Q232</f>
        <v>0</v>
      </c>
      <c r="R217" s="37" t="n">
        <f aca="false">R232</f>
        <v>0</v>
      </c>
      <c r="T217" s="49"/>
      <c r="U217" s="49"/>
      <c r="V217" s="49"/>
      <c r="W217" s="44"/>
    </row>
    <row r="218" s="42" customFormat="true" ht="31.3" hidden="false" customHeight="true" outlineLevel="0" collapsed="false">
      <c r="A218" s="40"/>
      <c r="B218" s="68"/>
      <c r="C218" s="62" t="s">
        <v>33</v>
      </c>
      <c r="D218" s="36"/>
      <c r="E218" s="36"/>
      <c r="F218" s="37" t="n">
        <f aca="false">SUM(G218:R218)</f>
        <v>0</v>
      </c>
      <c r="G218" s="37" t="n">
        <v>0</v>
      </c>
      <c r="H218" s="37" t="n">
        <v>0</v>
      </c>
      <c r="I218" s="37" t="n">
        <v>0</v>
      </c>
      <c r="J218" s="37" t="n">
        <v>0</v>
      </c>
      <c r="K218" s="37" t="n">
        <v>0</v>
      </c>
      <c r="L218" s="37" t="n">
        <v>0</v>
      </c>
      <c r="M218" s="37" t="n">
        <v>0</v>
      </c>
      <c r="N218" s="37" t="n">
        <v>0</v>
      </c>
      <c r="O218" s="37" t="n">
        <v>0</v>
      </c>
      <c r="P218" s="37" t="n">
        <v>0</v>
      </c>
      <c r="Q218" s="37" t="n">
        <v>0</v>
      </c>
      <c r="R218" s="37" t="n">
        <v>0</v>
      </c>
      <c r="T218" s="49"/>
      <c r="U218" s="49"/>
      <c r="V218" s="49"/>
      <c r="W218" s="44"/>
    </row>
    <row r="219" s="42" customFormat="true" ht="73.5" hidden="false" customHeight="true" outlineLevel="0" collapsed="false">
      <c r="A219" s="40"/>
      <c r="B219" s="68"/>
      <c r="C219" s="62" t="s">
        <v>36</v>
      </c>
      <c r="D219" s="36"/>
      <c r="E219" s="36"/>
      <c r="F219" s="37" t="n">
        <f aca="false">SUM(G219:R219)</f>
        <v>0</v>
      </c>
      <c r="G219" s="37" t="n">
        <v>0</v>
      </c>
      <c r="H219" s="37" t="n">
        <v>0</v>
      </c>
      <c r="I219" s="37" t="n">
        <v>0</v>
      </c>
      <c r="J219" s="37" t="n">
        <v>0</v>
      </c>
      <c r="K219" s="37" t="n">
        <v>0</v>
      </c>
      <c r="L219" s="37" t="n">
        <v>0</v>
      </c>
      <c r="M219" s="37" t="n">
        <v>0</v>
      </c>
      <c r="N219" s="37" t="n">
        <v>0</v>
      </c>
      <c r="O219" s="37" t="n">
        <v>0</v>
      </c>
      <c r="P219" s="37" t="n">
        <v>0</v>
      </c>
      <c r="Q219" s="37" t="n">
        <v>0</v>
      </c>
      <c r="R219" s="37" t="n">
        <v>0</v>
      </c>
      <c r="T219" s="49"/>
      <c r="U219" s="49"/>
      <c r="V219" s="49"/>
      <c r="W219" s="44"/>
    </row>
    <row r="220" s="42" customFormat="true" ht="19.4" hidden="false" customHeight="true" outlineLevel="0" collapsed="false">
      <c r="A220" s="40" t="s">
        <v>103</v>
      </c>
      <c r="B220" s="54" t="s">
        <v>104</v>
      </c>
      <c r="C220" s="62" t="s">
        <v>30</v>
      </c>
      <c r="D220" s="36"/>
      <c r="E220" s="36"/>
      <c r="F220" s="37" t="n">
        <f aca="false">F221+F222+F223+F224+F225+F226</f>
        <v>334234.68713</v>
      </c>
      <c r="G220" s="37" t="n">
        <f aca="false">G221+G222+G223+G224+G225+G226</f>
        <v>0</v>
      </c>
      <c r="H220" s="37" t="n">
        <f aca="false">H221+H222+H223+H224+H225+H226</f>
        <v>0</v>
      </c>
      <c r="I220" s="37" t="n">
        <f aca="false">I221+I222+I223+I224+I225+I226</f>
        <v>0</v>
      </c>
      <c r="J220" s="37" t="n">
        <f aca="false">J221+J222+J223+J224+J225+J226</f>
        <v>0</v>
      </c>
      <c r="K220" s="37" t="n">
        <f aca="false">K221+K222+K223+K224+K225+K226</f>
        <v>0</v>
      </c>
      <c r="L220" s="37" t="n">
        <f aca="false">L221+L222+L223+L224+L225+L226</f>
        <v>334234.68713</v>
      </c>
      <c r="M220" s="37" t="n">
        <f aca="false">M221+M222+M223+M224+M225+M226</f>
        <v>0</v>
      </c>
      <c r="N220" s="37" t="n">
        <f aca="false">N221+N222+N223+N224+N225+N226</f>
        <v>0</v>
      </c>
      <c r="O220" s="37" t="n">
        <f aca="false">O221+O222+O223+O224+O225+O226</f>
        <v>0</v>
      </c>
      <c r="P220" s="37" t="n">
        <f aca="false">P221+P222+P223+P224+P225+P226</f>
        <v>0</v>
      </c>
      <c r="Q220" s="37" t="n">
        <f aca="false">Q221+Q222+Q223+Q224+Q225+Q226</f>
        <v>0</v>
      </c>
      <c r="R220" s="37" t="n">
        <f aca="false">R221+R222+R223+R224+R225+R226</f>
        <v>0</v>
      </c>
      <c r="T220" s="49"/>
      <c r="U220" s="49"/>
      <c r="V220" s="49"/>
      <c r="W220" s="44"/>
    </row>
    <row r="221" s="42" customFormat="true" ht="36" hidden="false" customHeight="true" outlineLevel="0" collapsed="false">
      <c r="A221" s="40"/>
      <c r="B221" s="54"/>
      <c r="C221" s="62" t="s">
        <v>31</v>
      </c>
      <c r="D221" s="36" t="s">
        <v>42</v>
      </c>
      <c r="E221" s="36" t="s">
        <v>43</v>
      </c>
      <c r="F221" s="37" t="n">
        <f aca="false">SUM(G221:R221)</f>
        <v>242655.29</v>
      </c>
      <c r="G221" s="37" t="n">
        <v>0</v>
      </c>
      <c r="H221" s="37" t="n">
        <v>0</v>
      </c>
      <c r="I221" s="37" t="n">
        <v>0</v>
      </c>
      <c r="J221" s="37" t="n">
        <v>0</v>
      </c>
      <c r="K221" s="37" t="n">
        <v>0</v>
      </c>
      <c r="L221" s="37" t="n">
        <v>242655.29</v>
      </c>
      <c r="M221" s="37" t="n">
        <v>0</v>
      </c>
      <c r="N221" s="37" t="n">
        <v>0</v>
      </c>
      <c r="O221" s="37" t="n">
        <v>0</v>
      </c>
      <c r="P221" s="37" t="n">
        <v>0</v>
      </c>
      <c r="Q221" s="37" t="n">
        <v>0</v>
      </c>
      <c r="R221" s="37" t="n">
        <v>0</v>
      </c>
      <c r="T221" s="49"/>
      <c r="U221" s="49"/>
      <c r="V221" s="49"/>
      <c r="W221" s="44"/>
    </row>
    <row r="222" s="42" customFormat="true" ht="24" hidden="false" customHeight="true" outlineLevel="0" collapsed="false">
      <c r="A222" s="40"/>
      <c r="B222" s="54"/>
      <c r="C222" s="62" t="s">
        <v>32</v>
      </c>
      <c r="D222" s="36" t="s">
        <v>42</v>
      </c>
      <c r="E222" s="36" t="s">
        <v>43</v>
      </c>
      <c r="F222" s="37" t="n">
        <f aca="false">SUM(G222:R222)</f>
        <v>89833.23</v>
      </c>
      <c r="G222" s="37" t="n">
        <v>0</v>
      </c>
      <c r="H222" s="37" t="n">
        <v>0</v>
      </c>
      <c r="I222" s="37" t="n">
        <v>0</v>
      </c>
      <c r="J222" s="37" t="n">
        <v>0</v>
      </c>
      <c r="K222" s="37" t="n">
        <v>0</v>
      </c>
      <c r="L222" s="37" t="n">
        <v>89833.23</v>
      </c>
      <c r="M222" s="37" t="n">
        <v>0</v>
      </c>
      <c r="N222" s="37" t="n">
        <v>0</v>
      </c>
      <c r="O222" s="37" t="n">
        <v>0</v>
      </c>
      <c r="P222" s="37" t="n">
        <v>0</v>
      </c>
      <c r="Q222" s="37" t="n">
        <v>0</v>
      </c>
      <c r="R222" s="37" t="n">
        <v>0</v>
      </c>
      <c r="T222" s="49"/>
      <c r="U222" s="49"/>
      <c r="V222" s="49"/>
      <c r="W222" s="44"/>
    </row>
    <row r="223" s="42" customFormat="true" ht="22.5" hidden="false" customHeight="false" outlineLevel="0" collapsed="false">
      <c r="A223" s="40"/>
      <c r="B223" s="54"/>
      <c r="C223" s="62" t="s">
        <v>33</v>
      </c>
      <c r="D223" s="36"/>
      <c r="E223" s="36"/>
      <c r="F223" s="37" t="n">
        <f aca="false">SUM(G223:R223)</f>
        <v>1746.16713</v>
      </c>
      <c r="G223" s="37" t="n">
        <v>0</v>
      </c>
      <c r="H223" s="37" t="n">
        <v>0</v>
      </c>
      <c r="I223" s="37" t="n">
        <v>0</v>
      </c>
      <c r="J223" s="37" t="n">
        <v>0</v>
      </c>
      <c r="K223" s="37" t="n">
        <v>0</v>
      </c>
      <c r="L223" s="37" t="n">
        <v>1746.16713</v>
      </c>
      <c r="M223" s="37" t="n">
        <v>0</v>
      </c>
      <c r="N223" s="37" t="n">
        <v>0</v>
      </c>
      <c r="O223" s="37" t="n">
        <v>0</v>
      </c>
      <c r="P223" s="37" t="n">
        <v>0</v>
      </c>
      <c r="Q223" s="37" t="n">
        <v>0</v>
      </c>
      <c r="R223" s="37" t="n">
        <v>0</v>
      </c>
      <c r="T223" s="49"/>
      <c r="U223" s="49"/>
      <c r="V223" s="49"/>
      <c r="W223" s="44"/>
    </row>
    <row r="224" s="42" customFormat="true" ht="39" hidden="false" customHeight="true" outlineLevel="0" collapsed="false">
      <c r="A224" s="40"/>
      <c r="B224" s="54"/>
      <c r="C224" s="62" t="s">
        <v>34</v>
      </c>
      <c r="D224" s="36"/>
      <c r="E224" s="36"/>
      <c r="F224" s="37" t="n">
        <f aca="false">SUM(G224:R224)</f>
        <v>0</v>
      </c>
      <c r="G224" s="37" t="n">
        <v>0</v>
      </c>
      <c r="H224" s="37" t="n">
        <v>0</v>
      </c>
      <c r="I224" s="37" t="n">
        <v>0</v>
      </c>
      <c r="J224" s="37" t="n">
        <v>0</v>
      </c>
      <c r="K224" s="37" t="n">
        <v>0</v>
      </c>
      <c r="L224" s="37" t="n">
        <v>0</v>
      </c>
      <c r="M224" s="37" t="n">
        <v>0</v>
      </c>
      <c r="N224" s="37" t="n">
        <v>0</v>
      </c>
      <c r="O224" s="37" t="n">
        <v>0</v>
      </c>
      <c r="P224" s="37" t="n">
        <v>0</v>
      </c>
      <c r="Q224" s="37" t="n">
        <v>0</v>
      </c>
      <c r="R224" s="37" t="n">
        <v>0</v>
      </c>
      <c r="T224" s="49"/>
      <c r="U224" s="49"/>
      <c r="V224" s="49"/>
      <c r="W224" s="44"/>
    </row>
    <row r="225" s="42" customFormat="true" ht="26.25" hidden="false" customHeight="true" outlineLevel="0" collapsed="false">
      <c r="A225" s="40"/>
      <c r="B225" s="54"/>
      <c r="C225" s="62" t="s">
        <v>35</v>
      </c>
      <c r="D225" s="36"/>
      <c r="E225" s="36"/>
      <c r="F225" s="37" t="n">
        <f aca="false">SUM(G225:R225)</f>
        <v>0</v>
      </c>
      <c r="G225" s="37" t="n">
        <v>0</v>
      </c>
      <c r="H225" s="37" t="n">
        <v>0</v>
      </c>
      <c r="I225" s="37" t="n">
        <v>0</v>
      </c>
      <c r="J225" s="37" t="n">
        <v>0</v>
      </c>
      <c r="K225" s="37" t="n">
        <v>0</v>
      </c>
      <c r="L225" s="37" t="n">
        <v>0</v>
      </c>
      <c r="M225" s="37" t="n">
        <v>0</v>
      </c>
      <c r="N225" s="37" t="n">
        <v>0</v>
      </c>
      <c r="O225" s="37" t="n">
        <v>0</v>
      </c>
      <c r="P225" s="37" t="n">
        <v>0</v>
      </c>
      <c r="Q225" s="37" t="n">
        <v>0</v>
      </c>
      <c r="R225" s="37" t="n">
        <v>0</v>
      </c>
      <c r="T225" s="49"/>
      <c r="U225" s="49"/>
      <c r="V225" s="49"/>
      <c r="W225" s="44"/>
    </row>
    <row r="226" s="42" customFormat="true" ht="74.25" hidden="false" customHeight="true" outlineLevel="0" collapsed="false">
      <c r="A226" s="40"/>
      <c r="B226" s="54"/>
      <c r="C226" s="62" t="s">
        <v>36</v>
      </c>
      <c r="D226" s="36"/>
      <c r="E226" s="36"/>
      <c r="F226" s="37" t="n">
        <f aca="false">SUM(G226:R226)</f>
        <v>0</v>
      </c>
      <c r="G226" s="37" t="n">
        <v>0</v>
      </c>
      <c r="H226" s="37" t="n">
        <v>0</v>
      </c>
      <c r="I226" s="37" t="n">
        <v>0</v>
      </c>
      <c r="J226" s="37" t="n">
        <v>0</v>
      </c>
      <c r="K226" s="37" t="n">
        <v>0</v>
      </c>
      <c r="L226" s="37" t="n">
        <v>0</v>
      </c>
      <c r="M226" s="37" t="n">
        <v>0</v>
      </c>
      <c r="N226" s="37" t="n">
        <v>0</v>
      </c>
      <c r="O226" s="37" t="n">
        <v>0</v>
      </c>
      <c r="P226" s="37" t="n">
        <v>0</v>
      </c>
      <c r="Q226" s="37" t="n">
        <v>0</v>
      </c>
      <c r="R226" s="37" t="n">
        <v>0</v>
      </c>
      <c r="T226" s="49"/>
      <c r="U226" s="49"/>
      <c r="V226" s="49"/>
      <c r="W226" s="44"/>
    </row>
    <row r="227" s="42" customFormat="true" ht="14.35" hidden="false" customHeight="true" outlineLevel="0" collapsed="false">
      <c r="A227" s="40" t="s">
        <v>105</v>
      </c>
      <c r="B227" s="54" t="s">
        <v>106</v>
      </c>
      <c r="C227" s="62" t="s">
        <v>30</v>
      </c>
      <c r="D227" s="36"/>
      <c r="E227" s="36"/>
      <c r="F227" s="37" t="n">
        <f aca="false">SUM(G227:R227)</f>
        <v>2888736.25409</v>
      </c>
      <c r="G227" s="37" t="n">
        <f aca="false">SUM(G228:G236)</f>
        <v>0</v>
      </c>
      <c r="H227" s="37" t="n">
        <f aca="false">SUM(H228:H236)</f>
        <v>0</v>
      </c>
      <c r="I227" s="37" t="n">
        <f aca="false">SUM(I228:I236)</f>
        <v>0</v>
      </c>
      <c r="J227" s="37" t="n">
        <f aca="false">SUM(J228:J236)</f>
        <v>0</v>
      </c>
      <c r="K227" s="37" t="n">
        <f aca="false">SUM(K228:K236)</f>
        <v>0</v>
      </c>
      <c r="L227" s="37" t="n">
        <f aca="false">SUM(L228:L236)</f>
        <v>536317.18172</v>
      </c>
      <c r="M227" s="37" t="n">
        <f aca="false">SUM(M228:M236)</f>
        <v>1631753.79843</v>
      </c>
      <c r="N227" s="37" t="n">
        <f aca="false">SUM(N228:N236)</f>
        <v>522747.59085</v>
      </c>
      <c r="O227" s="37" t="n">
        <f aca="false">SUM(O228:O236)</f>
        <v>197917.68309</v>
      </c>
      <c r="P227" s="37" t="n">
        <f aca="false">SUM(P228:P236)</f>
        <v>0</v>
      </c>
      <c r="Q227" s="37" t="n">
        <f aca="false">SUM(Q228:Q236)</f>
        <v>0</v>
      </c>
      <c r="R227" s="37" t="n">
        <f aca="false">SUM(R228:R236)</f>
        <v>0</v>
      </c>
      <c r="T227" s="49"/>
      <c r="U227" s="49"/>
      <c r="V227" s="49"/>
      <c r="W227" s="44"/>
    </row>
    <row r="228" s="42" customFormat="true" ht="41.75" hidden="false" customHeight="true" outlineLevel="0" collapsed="false">
      <c r="A228" s="40"/>
      <c r="B228" s="54"/>
      <c r="C228" s="62" t="s">
        <v>31</v>
      </c>
      <c r="D228" s="36" t="s">
        <v>42</v>
      </c>
      <c r="E228" s="36" t="s">
        <v>43</v>
      </c>
      <c r="F228" s="37" t="n">
        <f aca="false">SUM(G228:R228)</f>
        <v>1036200.959</v>
      </c>
      <c r="G228" s="37" t="n">
        <v>0</v>
      </c>
      <c r="H228" s="37" t="n">
        <v>0</v>
      </c>
      <c r="I228" s="37" t="n">
        <v>0</v>
      </c>
      <c r="J228" s="37" t="n">
        <v>0</v>
      </c>
      <c r="K228" s="37" t="n">
        <v>0</v>
      </c>
      <c r="L228" s="37" t="n">
        <v>368924.8</v>
      </c>
      <c r="M228" s="37" t="n">
        <v>313756.92</v>
      </c>
      <c r="N228" s="37" t="n">
        <f aca="false">353519.239</f>
        <v>353519.239</v>
      </c>
      <c r="O228" s="37" t="n">
        <v>0</v>
      </c>
      <c r="P228" s="37" t="n">
        <v>0</v>
      </c>
      <c r="Q228" s="37" t="n">
        <v>0</v>
      </c>
      <c r="R228" s="37" t="n">
        <v>0</v>
      </c>
      <c r="T228" s="49"/>
      <c r="U228" s="49"/>
      <c r="V228" s="49"/>
      <c r="W228" s="44"/>
    </row>
    <row r="229" s="42" customFormat="true" ht="22.5" hidden="false" customHeight="false" outlineLevel="0" collapsed="false">
      <c r="A229" s="40"/>
      <c r="B229" s="54"/>
      <c r="C229" s="62" t="s">
        <v>32</v>
      </c>
      <c r="D229" s="36" t="s">
        <v>42</v>
      </c>
      <c r="E229" s="36" t="s">
        <v>43</v>
      </c>
      <c r="F229" s="37" t="n">
        <f aca="false">SUM(G229:R229)</f>
        <v>854400.27077</v>
      </c>
      <c r="G229" s="37" t="n">
        <v>0</v>
      </c>
      <c r="H229" s="37" t="n">
        <v>0</v>
      </c>
      <c r="I229" s="37" t="n">
        <v>0</v>
      </c>
      <c r="J229" s="37" t="n">
        <v>0</v>
      </c>
      <c r="K229" s="37" t="n">
        <v>0</v>
      </c>
      <c r="L229" s="37" t="n">
        <v>3726.51303</v>
      </c>
      <c r="M229" s="37" t="n">
        <v>572724.42094</v>
      </c>
      <c r="N229" s="37" t="n">
        <v>80031.65371</v>
      </c>
      <c r="O229" s="37" t="n">
        <v>197917.68309</v>
      </c>
      <c r="P229" s="37" t="n">
        <v>0</v>
      </c>
      <c r="Q229" s="37" t="n">
        <v>0</v>
      </c>
      <c r="R229" s="37" t="n">
        <v>0</v>
      </c>
      <c r="T229" s="49"/>
      <c r="U229" s="49"/>
      <c r="V229" s="49"/>
      <c r="W229" s="44"/>
    </row>
    <row r="230" s="42" customFormat="true" ht="28.35" hidden="false" customHeight="true" outlineLevel="0" collapsed="false">
      <c r="A230" s="40"/>
      <c r="B230" s="54"/>
      <c r="C230" s="62" t="s">
        <v>33</v>
      </c>
      <c r="D230" s="36" t="s">
        <v>42</v>
      </c>
      <c r="E230" s="36" t="s">
        <v>43</v>
      </c>
      <c r="F230" s="37" t="n">
        <f aca="false">SUM(G230:R230)</f>
        <v>0</v>
      </c>
      <c r="G230" s="37" t="n">
        <v>0</v>
      </c>
      <c r="H230" s="37" t="n">
        <v>0</v>
      </c>
      <c r="I230" s="37" t="n">
        <v>0</v>
      </c>
      <c r="J230" s="37" t="n">
        <v>0</v>
      </c>
      <c r="K230" s="37" t="n">
        <v>0</v>
      </c>
      <c r="L230" s="37" t="n">
        <v>0</v>
      </c>
      <c r="M230" s="37" t="n">
        <v>0</v>
      </c>
      <c r="N230" s="37" t="n">
        <v>0</v>
      </c>
      <c r="O230" s="37" t="n">
        <v>0</v>
      </c>
      <c r="P230" s="37" t="n">
        <v>0</v>
      </c>
      <c r="Q230" s="37" t="n">
        <v>0</v>
      </c>
      <c r="R230" s="37" t="n">
        <v>0</v>
      </c>
      <c r="T230" s="49"/>
      <c r="U230" s="49"/>
      <c r="V230" s="49"/>
      <c r="W230" s="44"/>
    </row>
    <row r="231" s="42" customFormat="true" ht="36.55" hidden="false" customHeight="true" outlineLevel="0" collapsed="false">
      <c r="A231" s="40"/>
      <c r="B231" s="54"/>
      <c r="C231" s="62" t="s">
        <v>31</v>
      </c>
      <c r="D231" s="36" t="s">
        <v>58</v>
      </c>
      <c r="E231" s="36" t="s">
        <v>43</v>
      </c>
      <c r="F231" s="37" t="n">
        <f aca="false">SUM(G231:R231)</f>
        <v>473262.451</v>
      </c>
      <c r="G231" s="37" t="n">
        <v>0</v>
      </c>
      <c r="H231" s="37" t="n">
        <v>0</v>
      </c>
      <c r="I231" s="37" t="n">
        <v>0</v>
      </c>
      <c r="J231" s="37" t="n">
        <v>0</v>
      </c>
      <c r="K231" s="37" t="n">
        <v>0</v>
      </c>
      <c r="L231" s="37" t="n">
        <v>162029.21</v>
      </c>
      <c r="M231" s="37" t="n">
        <v>233024.38</v>
      </c>
      <c r="N231" s="37" t="n">
        <v>78208.861</v>
      </c>
      <c r="O231" s="37" t="n">
        <v>0</v>
      </c>
      <c r="P231" s="37" t="n">
        <v>0</v>
      </c>
      <c r="Q231" s="37" t="n">
        <v>0</v>
      </c>
      <c r="R231" s="37" t="n">
        <v>0</v>
      </c>
      <c r="T231" s="49"/>
      <c r="U231" s="49"/>
      <c r="V231" s="49"/>
      <c r="W231" s="44"/>
    </row>
    <row r="232" s="42" customFormat="true" ht="22.5" hidden="false" customHeight="false" outlineLevel="0" collapsed="false">
      <c r="A232" s="40"/>
      <c r="B232" s="54"/>
      <c r="C232" s="62" t="s">
        <v>32</v>
      </c>
      <c r="D232" s="36" t="s">
        <v>58</v>
      </c>
      <c r="E232" s="36" t="s">
        <v>43</v>
      </c>
      <c r="F232" s="37" t="n">
        <f aca="false">SUM(G232:R232)</f>
        <v>524872.57332</v>
      </c>
      <c r="G232" s="37" t="n">
        <v>0</v>
      </c>
      <c r="H232" s="37" t="n">
        <v>0</v>
      </c>
      <c r="I232" s="37" t="n">
        <v>0</v>
      </c>
      <c r="J232" s="37" t="n">
        <v>0</v>
      </c>
      <c r="K232" s="37" t="n">
        <v>0</v>
      </c>
      <c r="L232" s="37" t="n">
        <v>1636.65869</v>
      </c>
      <c r="M232" s="37" t="n">
        <v>512248.07749</v>
      </c>
      <c r="N232" s="37" t="n">
        <v>10987.83714</v>
      </c>
      <c r="O232" s="37" t="n">
        <v>0</v>
      </c>
      <c r="P232" s="37" t="n">
        <v>0</v>
      </c>
      <c r="Q232" s="37" t="n">
        <v>0</v>
      </c>
      <c r="R232" s="37" t="n">
        <v>0</v>
      </c>
      <c r="T232" s="49"/>
      <c r="U232" s="49"/>
      <c r="V232" s="49"/>
      <c r="W232" s="44"/>
    </row>
    <row r="233" s="42" customFormat="true" ht="22.5" hidden="false" customHeight="false" outlineLevel="0" collapsed="false">
      <c r="A233" s="40"/>
      <c r="B233" s="54"/>
      <c r="C233" s="62" t="s">
        <v>33</v>
      </c>
      <c r="D233" s="36"/>
      <c r="E233" s="36"/>
      <c r="F233" s="37" t="n">
        <f aca="false">SUM(G233:R233)</f>
        <v>0</v>
      </c>
      <c r="G233" s="37" t="n">
        <v>0</v>
      </c>
      <c r="H233" s="37" t="n">
        <v>0</v>
      </c>
      <c r="I233" s="37" t="n">
        <v>0</v>
      </c>
      <c r="J233" s="37" t="n">
        <v>0</v>
      </c>
      <c r="K233" s="37" t="n">
        <v>0</v>
      </c>
      <c r="L233" s="37" t="n">
        <v>0</v>
      </c>
      <c r="M233" s="37" t="n">
        <v>0</v>
      </c>
      <c r="N233" s="37" t="n">
        <v>0</v>
      </c>
      <c r="O233" s="37" t="n">
        <v>0</v>
      </c>
      <c r="P233" s="37" t="n">
        <v>0</v>
      </c>
      <c r="Q233" s="37" t="n">
        <v>0</v>
      </c>
      <c r="R233" s="37" t="n">
        <v>0</v>
      </c>
      <c r="T233" s="49"/>
      <c r="U233" s="49"/>
      <c r="V233" s="49"/>
      <c r="W233" s="44"/>
    </row>
    <row r="234" s="42" customFormat="true" ht="35.8" hidden="false" customHeight="true" outlineLevel="0" collapsed="false">
      <c r="A234" s="40"/>
      <c r="B234" s="54"/>
      <c r="C234" s="62" t="s">
        <v>34</v>
      </c>
      <c r="D234" s="36"/>
      <c r="E234" s="36"/>
      <c r="F234" s="37" t="n">
        <f aca="false">SUM(G234:R234)</f>
        <v>0</v>
      </c>
      <c r="G234" s="37" t="n">
        <v>0</v>
      </c>
      <c r="H234" s="37" t="n">
        <v>0</v>
      </c>
      <c r="I234" s="37" t="n">
        <v>0</v>
      </c>
      <c r="J234" s="37" t="n">
        <v>0</v>
      </c>
      <c r="K234" s="37" t="n">
        <v>0</v>
      </c>
      <c r="L234" s="37" t="n">
        <v>0</v>
      </c>
      <c r="M234" s="37" t="n">
        <v>0</v>
      </c>
      <c r="N234" s="37" t="n">
        <v>0</v>
      </c>
      <c r="O234" s="37" t="n">
        <v>0</v>
      </c>
      <c r="P234" s="37" t="n">
        <v>0</v>
      </c>
      <c r="Q234" s="37" t="n">
        <v>0</v>
      </c>
      <c r="R234" s="37" t="n">
        <v>0</v>
      </c>
      <c r="T234" s="49"/>
      <c r="U234" s="49"/>
      <c r="V234" s="49"/>
      <c r="W234" s="44"/>
    </row>
    <row r="235" s="42" customFormat="true" ht="31.3" hidden="false" customHeight="true" outlineLevel="0" collapsed="false">
      <c r="A235" s="40"/>
      <c r="B235" s="54"/>
      <c r="C235" s="62" t="s">
        <v>35</v>
      </c>
      <c r="D235" s="36"/>
      <c r="E235" s="36"/>
      <c r="F235" s="37" t="n">
        <f aca="false">SUM(G235:R235)</f>
        <v>0</v>
      </c>
      <c r="G235" s="37" t="n">
        <v>0</v>
      </c>
      <c r="H235" s="37" t="n">
        <v>0</v>
      </c>
      <c r="I235" s="37" t="n">
        <v>0</v>
      </c>
      <c r="J235" s="37" t="n">
        <v>0</v>
      </c>
      <c r="K235" s="37" t="n">
        <v>0</v>
      </c>
      <c r="L235" s="37" t="n">
        <v>0</v>
      </c>
      <c r="M235" s="37" t="n">
        <v>0</v>
      </c>
      <c r="N235" s="37" t="n">
        <v>0</v>
      </c>
      <c r="O235" s="37" t="n">
        <v>0</v>
      </c>
      <c r="P235" s="37" t="n">
        <v>0</v>
      </c>
      <c r="Q235" s="37" t="n">
        <v>0</v>
      </c>
      <c r="R235" s="37" t="n">
        <v>0</v>
      </c>
      <c r="T235" s="49"/>
      <c r="U235" s="49"/>
      <c r="V235" s="49"/>
      <c r="W235" s="44"/>
    </row>
    <row r="236" s="42" customFormat="true" ht="72" hidden="false" customHeight="true" outlineLevel="0" collapsed="false">
      <c r="A236" s="40"/>
      <c r="B236" s="54"/>
      <c r="C236" s="62" t="s">
        <v>36</v>
      </c>
      <c r="D236" s="36"/>
      <c r="E236" s="36"/>
      <c r="F236" s="37" t="n">
        <f aca="false">SUM(G236:R236)</f>
        <v>0</v>
      </c>
      <c r="G236" s="37" t="n">
        <v>0</v>
      </c>
      <c r="H236" s="37" t="n">
        <v>0</v>
      </c>
      <c r="I236" s="37" t="n">
        <v>0</v>
      </c>
      <c r="J236" s="37" t="n">
        <v>0</v>
      </c>
      <c r="K236" s="37" t="n">
        <v>0</v>
      </c>
      <c r="L236" s="37" t="n">
        <v>0</v>
      </c>
      <c r="M236" s="37" t="n">
        <v>0</v>
      </c>
      <c r="N236" s="37" t="n">
        <v>0</v>
      </c>
      <c r="O236" s="37" t="n">
        <v>0</v>
      </c>
      <c r="P236" s="37" t="n">
        <v>0</v>
      </c>
      <c r="Q236" s="37" t="n">
        <v>0</v>
      </c>
      <c r="R236" s="37" t="n">
        <v>0</v>
      </c>
      <c r="T236" s="49"/>
      <c r="U236" s="49"/>
      <c r="V236" s="49"/>
      <c r="W236" s="44"/>
    </row>
    <row r="237" s="42" customFormat="true" ht="15" hidden="false" customHeight="true" outlineLevel="0" collapsed="false">
      <c r="A237" s="40" t="s">
        <v>107</v>
      </c>
      <c r="B237" s="54" t="s">
        <v>108</v>
      </c>
      <c r="C237" s="62" t="s">
        <v>30</v>
      </c>
      <c r="D237" s="36"/>
      <c r="E237" s="36"/>
      <c r="F237" s="37" t="n">
        <f aca="false">F238+F239+F240+F241+F242+F243</f>
        <v>368287.11137</v>
      </c>
      <c r="G237" s="37" t="n">
        <f aca="false">G238+G239+G240+G241+G242+G243</f>
        <v>0</v>
      </c>
      <c r="H237" s="37" t="n">
        <f aca="false">H238+H239+H240+H241+H242+H243</f>
        <v>0</v>
      </c>
      <c r="I237" s="37" t="n">
        <f aca="false">I238+I239+I240+I241+I242+I243</f>
        <v>0</v>
      </c>
      <c r="J237" s="37" t="n">
        <f aca="false">J238+J239+J240+J241+J242+J243</f>
        <v>0</v>
      </c>
      <c r="K237" s="37" t="n">
        <f aca="false">K238+K239+K240+K241+K242+K243</f>
        <v>0</v>
      </c>
      <c r="L237" s="37" t="n">
        <f aca="false">L238+L239+L240+L241+L242+L243</f>
        <v>334234.68713</v>
      </c>
      <c r="M237" s="37" t="n">
        <f aca="false">M238+M239+M240+M241+M242+M243</f>
        <v>34052.42424</v>
      </c>
      <c r="N237" s="37" t="n">
        <f aca="false">N238+N239+N240+N241+N242+N243</f>
        <v>0</v>
      </c>
      <c r="O237" s="37" t="n">
        <f aca="false">O238+O239+O240+O241+O242+O243</f>
        <v>0</v>
      </c>
      <c r="P237" s="37" t="n">
        <f aca="false">P238+P239+P240+P241+P242+P243</f>
        <v>0</v>
      </c>
      <c r="Q237" s="37" t="n">
        <f aca="false">Q238+Q239+Q240+Q241+Q242+Q243</f>
        <v>0</v>
      </c>
      <c r="R237" s="37" t="n">
        <f aca="false">R238+R239+R240+R241+R242+R243</f>
        <v>0</v>
      </c>
      <c r="T237" s="49"/>
      <c r="U237" s="49"/>
      <c r="V237" s="49"/>
      <c r="W237" s="44"/>
    </row>
    <row r="238" s="42" customFormat="true" ht="36.75" hidden="false" customHeight="true" outlineLevel="0" collapsed="false">
      <c r="A238" s="40"/>
      <c r="B238" s="54"/>
      <c r="C238" s="62" t="s">
        <v>31</v>
      </c>
      <c r="D238" s="36" t="s">
        <v>42</v>
      </c>
      <c r="E238" s="36" t="s">
        <v>43</v>
      </c>
      <c r="F238" s="37" t="n">
        <f aca="false">SUM(G238:R238)</f>
        <v>276367.19</v>
      </c>
      <c r="G238" s="37" t="n">
        <v>0</v>
      </c>
      <c r="H238" s="37" t="n">
        <v>0</v>
      </c>
      <c r="I238" s="37" t="n">
        <v>0</v>
      </c>
      <c r="J238" s="37" t="n">
        <v>0</v>
      </c>
      <c r="K238" s="37" t="n">
        <v>0</v>
      </c>
      <c r="L238" s="37" t="n">
        <v>242655.29</v>
      </c>
      <c r="M238" s="37" t="n">
        <v>33711.9</v>
      </c>
      <c r="N238" s="37" t="n">
        <v>0</v>
      </c>
      <c r="O238" s="37" t="n">
        <v>0</v>
      </c>
      <c r="P238" s="37" t="n">
        <v>0</v>
      </c>
      <c r="Q238" s="37" t="n">
        <v>0</v>
      </c>
      <c r="R238" s="37" t="n">
        <v>0</v>
      </c>
      <c r="T238" s="49"/>
      <c r="U238" s="49"/>
      <c r="V238" s="49"/>
      <c r="W238" s="44"/>
    </row>
    <row r="239" s="42" customFormat="true" ht="27" hidden="false" customHeight="true" outlineLevel="0" collapsed="false">
      <c r="A239" s="40"/>
      <c r="B239" s="54"/>
      <c r="C239" s="62" t="s">
        <v>32</v>
      </c>
      <c r="D239" s="36" t="s">
        <v>42</v>
      </c>
      <c r="E239" s="36" t="s">
        <v>43</v>
      </c>
      <c r="F239" s="37" t="n">
        <f aca="false">SUM(G239:R239)</f>
        <v>90173.75424</v>
      </c>
      <c r="G239" s="37" t="n">
        <v>0</v>
      </c>
      <c r="H239" s="37" t="n">
        <v>0</v>
      </c>
      <c r="I239" s="37" t="n">
        <v>0</v>
      </c>
      <c r="J239" s="37" t="n">
        <v>0</v>
      </c>
      <c r="K239" s="37" t="n">
        <v>0</v>
      </c>
      <c r="L239" s="37" t="n">
        <v>89833.23</v>
      </c>
      <c r="M239" s="37" t="n">
        <v>340.52424</v>
      </c>
      <c r="N239" s="37" t="n">
        <v>0</v>
      </c>
      <c r="O239" s="37" t="n">
        <v>0</v>
      </c>
      <c r="P239" s="37" t="n">
        <v>0</v>
      </c>
      <c r="Q239" s="37" t="n">
        <v>0</v>
      </c>
      <c r="R239" s="37" t="n">
        <v>0</v>
      </c>
      <c r="T239" s="49"/>
      <c r="U239" s="49"/>
      <c r="V239" s="49"/>
      <c r="W239" s="44"/>
    </row>
    <row r="240" s="42" customFormat="true" ht="25.2" hidden="false" customHeight="true" outlineLevel="0" collapsed="false">
      <c r="A240" s="40"/>
      <c r="B240" s="54"/>
      <c r="C240" s="62" t="s">
        <v>33</v>
      </c>
      <c r="D240" s="36"/>
      <c r="E240" s="36"/>
      <c r="F240" s="37" t="n">
        <f aca="false">SUM(G240:R240)</f>
        <v>1746.16713</v>
      </c>
      <c r="G240" s="37" t="n">
        <v>0</v>
      </c>
      <c r="H240" s="37" t="n">
        <v>0</v>
      </c>
      <c r="I240" s="37" t="n">
        <v>0</v>
      </c>
      <c r="J240" s="37" t="n">
        <v>0</v>
      </c>
      <c r="K240" s="37" t="n">
        <v>0</v>
      </c>
      <c r="L240" s="37" t="n">
        <v>1746.16713</v>
      </c>
      <c r="M240" s="37" t="n">
        <v>0</v>
      </c>
      <c r="N240" s="37" t="n">
        <v>0</v>
      </c>
      <c r="O240" s="37" t="n">
        <v>0</v>
      </c>
      <c r="P240" s="37" t="n">
        <v>0</v>
      </c>
      <c r="Q240" s="37" t="n">
        <v>0</v>
      </c>
      <c r="R240" s="37" t="n">
        <v>0</v>
      </c>
      <c r="T240" s="49"/>
      <c r="U240" s="49"/>
      <c r="V240" s="49"/>
      <c r="W240" s="44"/>
    </row>
    <row r="241" s="42" customFormat="true" ht="40.25" hidden="false" customHeight="true" outlineLevel="0" collapsed="false">
      <c r="A241" s="40"/>
      <c r="B241" s="54"/>
      <c r="C241" s="62" t="s">
        <v>34</v>
      </c>
      <c r="D241" s="36"/>
      <c r="E241" s="36"/>
      <c r="F241" s="37" t="n">
        <f aca="false">SUM(G241:R241)</f>
        <v>0</v>
      </c>
      <c r="G241" s="37" t="n">
        <v>0</v>
      </c>
      <c r="H241" s="37" t="n">
        <v>0</v>
      </c>
      <c r="I241" s="37" t="n">
        <v>0</v>
      </c>
      <c r="J241" s="37" t="n">
        <v>0</v>
      </c>
      <c r="K241" s="37" t="n">
        <v>0</v>
      </c>
      <c r="L241" s="37" t="n">
        <v>0</v>
      </c>
      <c r="M241" s="37" t="n">
        <v>0</v>
      </c>
      <c r="N241" s="37" t="n">
        <v>0</v>
      </c>
      <c r="O241" s="37" t="n">
        <v>0</v>
      </c>
      <c r="P241" s="37" t="n">
        <v>0</v>
      </c>
      <c r="Q241" s="37" t="n">
        <v>0</v>
      </c>
      <c r="R241" s="37" t="n">
        <v>0</v>
      </c>
      <c r="T241" s="49"/>
      <c r="U241" s="49"/>
      <c r="V241" s="49"/>
      <c r="W241" s="44"/>
    </row>
    <row r="242" s="42" customFormat="true" ht="29.1" hidden="false" customHeight="true" outlineLevel="0" collapsed="false">
      <c r="A242" s="40"/>
      <c r="B242" s="54"/>
      <c r="C242" s="62" t="s">
        <v>35</v>
      </c>
      <c r="D242" s="36"/>
      <c r="E242" s="36"/>
      <c r="F242" s="37" t="n">
        <f aca="false">SUM(G242:R242)</f>
        <v>0</v>
      </c>
      <c r="G242" s="37" t="n">
        <v>0</v>
      </c>
      <c r="H242" s="37" t="n">
        <v>0</v>
      </c>
      <c r="I242" s="37" t="n">
        <v>0</v>
      </c>
      <c r="J242" s="37" t="n">
        <v>0</v>
      </c>
      <c r="K242" s="37" t="n">
        <v>0</v>
      </c>
      <c r="L242" s="37" t="n">
        <v>0</v>
      </c>
      <c r="M242" s="37" t="n">
        <v>0</v>
      </c>
      <c r="N242" s="37" t="n">
        <v>0</v>
      </c>
      <c r="O242" s="37" t="n">
        <v>0</v>
      </c>
      <c r="P242" s="37" t="n">
        <v>0</v>
      </c>
      <c r="Q242" s="37" t="n">
        <v>0</v>
      </c>
      <c r="R242" s="37" t="n">
        <v>0</v>
      </c>
      <c r="T242" s="49"/>
      <c r="U242" s="49"/>
      <c r="V242" s="49"/>
      <c r="W242" s="44"/>
    </row>
    <row r="243" s="42" customFormat="true" ht="73.5" hidden="false" customHeight="true" outlineLevel="0" collapsed="false">
      <c r="A243" s="40"/>
      <c r="B243" s="54"/>
      <c r="C243" s="62" t="s">
        <v>36</v>
      </c>
      <c r="D243" s="36"/>
      <c r="E243" s="36"/>
      <c r="F243" s="37" t="n">
        <f aca="false">SUM(G243:R243)</f>
        <v>0</v>
      </c>
      <c r="G243" s="37" t="n">
        <v>0</v>
      </c>
      <c r="H243" s="37" t="n">
        <v>0</v>
      </c>
      <c r="I243" s="37" t="n">
        <v>0</v>
      </c>
      <c r="J243" s="37" t="n">
        <v>0</v>
      </c>
      <c r="K243" s="37" t="n">
        <v>0</v>
      </c>
      <c r="L243" s="37" t="n">
        <v>0</v>
      </c>
      <c r="M243" s="37" t="n">
        <v>0</v>
      </c>
      <c r="N243" s="37" t="n">
        <v>0</v>
      </c>
      <c r="O243" s="37" t="n">
        <v>0</v>
      </c>
      <c r="P243" s="37" t="n">
        <v>0</v>
      </c>
      <c r="Q243" s="37" t="n">
        <v>0</v>
      </c>
      <c r="R243" s="37" t="n">
        <v>0</v>
      </c>
      <c r="T243" s="49"/>
      <c r="U243" s="49"/>
      <c r="V243" s="49"/>
      <c r="W243" s="44"/>
    </row>
    <row r="244" s="42" customFormat="true" ht="15.6" hidden="false" customHeight="true" outlineLevel="0" collapsed="false">
      <c r="A244" s="40" t="s">
        <v>109</v>
      </c>
      <c r="B244" s="54" t="s">
        <v>110</v>
      </c>
      <c r="C244" s="31" t="s">
        <v>30</v>
      </c>
      <c r="D244" s="36" t="s">
        <v>42</v>
      </c>
      <c r="E244" s="36" t="s">
        <v>43</v>
      </c>
      <c r="F244" s="37" t="n">
        <f aca="false">SUM(G244:R244)</f>
        <v>267</v>
      </c>
      <c r="G244" s="37" t="n">
        <f aca="false">G245+G246+G247+G248+G249+G250</f>
        <v>0</v>
      </c>
      <c r="H244" s="37" t="n">
        <f aca="false">H245+H246+H247+H248+H249+H250</f>
        <v>0</v>
      </c>
      <c r="I244" s="37" t="n">
        <f aca="false">I245+I246+I247+I248+I249+I250</f>
        <v>0</v>
      </c>
      <c r="J244" s="37" t="n">
        <f aca="false">J245+J246+J247+J248+J249+J250</f>
        <v>0</v>
      </c>
      <c r="K244" s="37" t="n">
        <f aca="false">K245+K246+K247+K248+K249+K250</f>
        <v>0</v>
      </c>
      <c r="L244" s="37" t="n">
        <f aca="false">L245+L246+L247+L248+L249+L250</f>
        <v>0</v>
      </c>
      <c r="M244" s="37" t="n">
        <f aca="false">M245+M246+M247+M248+M249+M250</f>
        <v>118</v>
      </c>
      <c r="N244" s="37" t="n">
        <f aca="false">N245+N246+N247+N248+N249+N250</f>
        <v>149</v>
      </c>
      <c r="O244" s="37" t="n">
        <f aca="false">O245+O246+O247+O248+O249+O250</f>
        <v>0</v>
      </c>
      <c r="P244" s="37" t="n">
        <f aca="false">P245+P246+P247+P248+P249+P250</f>
        <v>0</v>
      </c>
      <c r="Q244" s="37" t="n">
        <f aca="false">Q245+Q246+Q247+Q248+Q249+Q250</f>
        <v>0</v>
      </c>
      <c r="R244" s="37" t="n">
        <f aca="false">R245+R246+R247+R248+R249+R250</f>
        <v>0</v>
      </c>
      <c r="T244" s="49"/>
      <c r="U244" s="49"/>
      <c r="V244" s="49"/>
      <c r="W244" s="44"/>
    </row>
    <row r="245" s="42" customFormat="true" ht="38.05" hidden="false" customHeight="true" outlineLevel="0" collapsed="false">
      <c r="A245" s="40"/>
      <c r="B245" s="54"/>
      <c r="C245" s="31" t="s">
        <v>31</v>
      </c>
      <c r="D245" s="36"/>
      <c r="E245" s="36"/>
      <c r="F245" s="37" t="n">
        <f aca="false">SUM(G245:R245)</f>
        <v>0</v>
      </c>
      <c r="G245" s="37" t="n">
        <v>0</v>
      </c>
      <c r="H245" s="37" t="n">
        <v>0</v>
      </c>
      <c r="I245" s="37" t="n">
        <v>0</v>
      </c>
      <c r="J245" s="37" t="n">
        <v>0</v>
      </c>
      <c r="K245" s="37" t="n">
        <v>0</v>
      </c>
      <c r="L245" s="37" t="n">
        <v>0</v>
      </c>
      <c r="M245" s="37" t="n">
        <v>0</v>
      </c>
      <c r="N245" s="37" t="n">
        <v>0</v>
      </c>
      <c r="O245" s="37" t="n">
        <v>0</v>
      </c>
      <c r="P245" s="37" t="n">
        <v>0</v>
      </c>
      <c r="Q245" s="37" t="n">
        <v>0</v>
      </c>
      <c r="R245" s="37" t="n">
        <v>0</v>
      </c>
      <c r="T245" s="49"/>
      <c r="U245" s="49"/>
      <c r="V245" s="49"/>
      <c r="W245" s="44"/>
    </row>
    <row r="246" s="42" customFormat="true" ht="27.6" hidden="false" customHeight="true" outlineLevel="0" collapsed="false">
      <c r="A246" s="40"/>
      <c r="B246" s="54"/>
      <c r="C246" s="31" t="s">
        <v>32</v>
      </c>
      <c r="D246" s="36"/>
      <c r="E246" s="36"/>
      <c r="F246" s="37" t="n">
        <f aca="false">SUM(G246:R246)</f>
        <v>267</v>
      </c>
      <c r="G246" s="37" t="n">
        <v>0</v>
      </c>
      <c r="H246" s="37" t="n">
        <v>0</v>
      </c>
      <c r="I246" s="37" t="n">
        <v>0</v>
      </c>
      <c r="J246" s="37" t="n">
        <v>0</v>
      </c>
      <c r="K246" s="37" t="n">
        <v>0</v>
      </c>
      <c r="L246" s="37" t="n">
        <v>0</v>
      </c>
      <c r="M246" s="37" t="n">
        <v>118</v>
      </c>
      <c r="N246" s="37" t="n">
        <v>149</v>
      </c>
      <c r="O246" s="37" t="n">
        <v>0</v>
      </c>
      <c r="P246" s="37" t="n">
        <v>0</v>
      </c>
      <c r="Q246" s="37" t="n">
        <v>0</v>
      </c>
      <c r="R246" s="37" t="n">
        <v>0</v>
      </c>
      <c r="T246" s="49"/>
      <c r="U246" s="49"/>
      <c r="V246" s="49"/>
      <c r="W246" s="44"/>
    </row>
    <row r="247" s="42" customFormat="true" ht="27.6" hidden="false" customHeight="true" outlineLevel="0" collapsed="false">
      <c r="A247" s="40"/>
      <c r="B247" s="54"/>
      <c r="C247" s="31" t="s">
        <v>33</v>
      </c>
      <c r="D247" s="36"/>
      <c r="E247" s="36"/>
      <c r="F247" s="37" t="n">
        <f aca="false">SUM(G247:R247)</f>
        <v>0</v>
      </c>
      <c r="G247" s="37" t="n">
        <v>0</v>
      </c>
      <c r="H247" s="37" t="n">
        <v>0</v>
      </c>
      <c r="I247" s="37" t="n">
        <v>0</v>
      </c>
      <c r="J247" s="37" t="n">
        <v>0</v>
      </c>
      <c r="K247" s="37" t="n">
        <v>0</v>
      </c>
      <c r="L247" s="37" t="n">
        <v>0</v>
      </c>
      <c r="M247" s="37" t="n">
        <v>0</v>
      </c>
      <c r="N247" s="37" t="n">
        <v>0</v>
      </c>
      <c r="O247" s="37" t="n">
        <v>0</v>
      </c>
      <c r="P247" s="37" t="n">
        <v>0</v>
      </c>
      <c r="Q247" s="37" t="n">
        <v>0</v>
      </c>
      <c r="R247" s="37" t="n">
        <v>0</v>
      </c>
      <c r="T247" s="49"/>
      <c r="U247" s="49"/>
      <c r="V247" s="49"/>
      <c r="W247" s="44"/>
    </row>
    <row r="248" s="42" customFormat="true" ht="36.55" hidden="false" customHeight="true" outlineLevel="0" collapsed="false">
      <c r="A248" s="40"/>
      <c r="B248" s="54"/>
      <c r="C248" s="31" t="s">
        <v>34</v>
      </c>
      <c r="D248" s="36"/>
      <c r="E248" s="36"/>
      <c r="F248" s="37" t="n">
        <f aca="false">SUM(G248:R248)</f>
        <v>0</v>
      </c>
      <c r="G248" s="37" t="n">
        <v>0</v>
      </c>
      <c r="H248" s="37" t="n">
        <v>0</v>
      </c>
      <c r="I248" s="37" t="n">
        <v>0</v>
      </c>
      <c r="J248" s="37" t="n">
        <v>0</v>
      </c>
      <c r="K248" s="37" t="n">
        <v>0</v>
      </c>
      <c r="L248" s="37" t="n">
        <v>0</v>
      </c>
      <c r="M248" s="37" t="n">
        <v>0</v>
      </c>
      <c r="N248" s="37" t="n">
        <v>0</v>
      </c>
      <c r="O248" s="37" t="n">
        <v>0</v>
      </c>
      <c r="P248" s="37" t="n">
        <v>0</v>
      </c>
      <c r="Q248" s="37" t="n">
        <v>0</v>
      </c>
      <c r="R248" s="37" t="n">
        <v>0</v>
      </c>
      <c r="T248" s="49"/>
      <c r="U248" s="49"/>
      <c r="V248" s="49"/>
      <c r="W248" s="44"/>
    </row>
    <row r="249" s="42" customFormat="true" ht="29.85" hidden="false" customHeight="true" outlineLevel="0" collapsed="false">
      <c r="A249" s="40"/>
      <c r="B249" s="54"/>
      <c r="C249" s="31" t="s">
        <v>35</v>
      </c>
      <c r="D249" s="36"/>
      <c r="E249" s="36"/>
      <c r="F249" s="37" t="n">
        <f aca="false">SUM(G249:R249)</f>
        <v>0</v>
      </c>
      <c r="G249" s="37" t="n">
        <v>0</v>
      </c>
      <c r="H249" s="37" t="n">
        <v>0</v>
      </c>
      <c r="I249" s="37" t="n">
        <v>0</v>
      </c>
      <c r="J249" s="37" t="n">
        <v>0</v>
      </c>
      <c r="K249" s="37" t="n">
        <v>0</v>
      </c>
      <c r="L249" s="37" t="n">
        <v>0</v>
      </c>
      <c r="M249" s="37" t="n">
        <v>0</v>
      </c>
      <c r="N249" s="37" t="n">
        <v>0</v>
      </c>
      <c r="O249" s="37" t="n">
        <v>0</v>
      </c>
      <c r="P249" s="37" t="n">
        <v>0</v>
      </c>
      <c r="Q249" s="37" t="n">
        <v>0</v>
      </c>
      <c r="R249" s="37" t="n">
        <v>0</v>
      </c>
      <c r="T249" s="49"/>
      <c r="U249" s="49"/>
      <c r="V249" s="49"/>
      <c r="W249" s="44"/>
    </row>
    <row r="250" s="42" customFormat="true" ht="75.35" hidden="false" customHeight="true" outlineLevel="0" collapsed="false">
      <c r="A250" s="40"/>
      <c r="B250" s="54"/>
      <c r="C250" s="31" t="s">
        <v>36</v>
      </c>
      <c r="D250" s="36"/>
      <c r="E250" s="36"/>
      <c r="F250" s="37" t="n">
        <f aca="false">SUM(G250:R250)</f>
        <v>0</v>
      </c>
      <c r="G250" s="37" t="n">
        <v>0</v>
      </c>
      <c r="H250" s="37" t="n">
        <v>0</v>
      </c>
      <c r="I250" s="37" t="n">
        <v>0</v>
      </c>
      <c r="J250" s="37" t="n">
        <v>0</v>
      </c>
      <c r="K250" s="37" t="n">
        <v>0</v>
      </c>
      <c r="L250" s="37" t="n">
        <v>0</v>
      </c>
      <c r="M250" s="37" t="n">
        <v>0</v>
      </c>
      <c r="N250" s="37" t="n">
        <v>0</v>
      </c>
      <c r="O250" s="37" t="n">
        <v>0</v>
      </c>
      <c r="P250" s="37" t="n">
        <v>0</v>
      </c>
      <c r="Q250" s="37" t="n">
        <v>0</v>
      </c>
      <c r="R250" s="37" t="n">
        <v>0</v>
      </c>
      <c r="T250" s="49"/>
      <c r="U250" s="49"/>
      <c r="V250" s="49"/>
      <c r="W250" s="44"/>
    </row>
    <row r="251" s="42" customFormat="true" ht="14.35" hidden="false" customHeight="true" outlineLevel="0" collapsed="false">
      <c r="A251" s="40" t="s">
        <v>111</v>
      </c>
      <c r="B251" s="54" t="s">
        <v>112</v>
      </c>
      <c r="C251" s="31" t="s">
        <v>30</v>
      </c>
      <c r="D251" s="36" t="s">
        <v>42</v>
      </c>
      <c r="E251" s="36" t="s">
        <v>43</v>
      </c>
      <c r="F251" s="37" t="n">
        <f aca="false">SUM(G251:R251)</f>
        <v>324754.73242</v>
      </c>
      <c r="G251" s="37" t="n">
        <f aca="false">G252+G253+G254+G255+G256+G257</f>
        <v>0</v>
      </c>
      <c r="H251" s="37" t="n">
        <f aca="false">H252+H253+H254+H255+H256+H257</f>
        <v>0</v>
      </c>
      <c r="I251" s="37" t="n">
        <f aca="false">I252+I253+I254+I255+I256+I257</f>
        <v>0</v>
      </c>
      <c r="J251" s="37" t="n">
        <f aca="false">J252+J253+J254+J255+J256+J257</f>
        <v>0</v>
      </c>
      <c r="K251" s="37" t="n">
        <f aca="false">K252+K253+K254+K255+K256+K257</f>
        <v>0</v>
      </c>
      <c r="L251" s="37" t="n">
        <f aca="false">L252+L253+L254+L255+L256+L257</f>
        <v>0</v>
      </c>
      <c r="M251" s="37" t="n">
        <f aca="false">M252+M253+M254+M255+M256+M257</f>
        <v>0</v>
      </c>
      <c r="N251" s="37" t="n">
        <f aca="false">N252+N253+N254+N255+N256+N257</f>
        <v>0</v>
      </c>
      <c r="O251" s="37" t="n">
        <f aca="false">O252+O253+O254+O255+O256+O257</f>
        <v>300497.5281</v>
      </c>
      <c r="P251" s="37" t="n">
        <f aca="false">P252+P253+P254+P255+P256+P257</f>
        <v>0</v>
      </c>
      <c r="Q251" s="37" t="n">
        <f aca="false">Q252+Q253+Q254+Q255+Q256+Q257</f>
        <v>12128.60216</v>
      </c>
      <c r="R251" s="37" t="n">
        <f aca="false">R252+R253+R254+R255+R256+R257</f>
        <v>12128.60216</v>
      </c>
      <c r="T251" s="49"/>
      <c r="U251" s="49"/>
      <c r="V251" s="49"/>
      <c r="W251" s="44"/>
    </row>
    <row r="252" s="42" customFormat="true" ht="41" hidden="false" customHeight="true" outlineLevel="0" collapsed="false">
      <c r="A252" s="40"/>
      <c r="B252" s="54"/>
      <c r="C252" s="31" t="s">
        <v>31</v>
      </c>
      <c r="D252" s="36"/>
      <c r="E252" s="36"/>
      <c r="F252" s="37" t="n">
        <f aca="false">SUM(G252:R252)</f>
        <v>171588.9</v>
      </c>
      <c r="G252" s="37" t="n">
        <v>0</v>
      </c>
      <c r="H252" s="37" t="n">
        <v>0</v>
      </c>
      <c r="I252" s="37" t="n">
        <v>0</v>
      </c>
      <c r="J252" s="37" t="n">
        <v>0</v>
      </c>
      <c r="K252" s="37" t="n">
        <v>0</v>
      </c>
      <c r="L252" s="37" t="n">
        <v>0</v>
      </c>
      <c r="M252" s="37" t="n">
        <v>0</v>
      </c>
      <c r="N252" s="37" t="n">
        <v>0</v>
      </c>
      <c r="O252" s="37" t="n">
        <v>149029.7</v>
      </c>
      <c r="P252" s="37" t="n">
        <v>0</v>
      </c>
      <c r="Q252" s="37" t="n">
        <v>11279.6</v>
      </c>
      <c r="R252" s="37" t="n">
        <v>11279.6</v>
      </c>
      <c r="T252" s="49"/>
      <c r="U252" s="49"/>
      <c r="V252" s="49"/>
      <c r="W252" s="44"/>
    </row>
    <row r="253" s="42" customFormat="true" ht="29.1" hidden="false" customHeight="true" outlineLevel="0" collapsed="false">
      <c r="A253" s="56"/>
      <c r="B253" s="57"/>
      <c r="C253" s="31" t="s">
        <v>32</v>
      </c>
      <c r="D253" s="36"/>
      <c r="E253" s="36"/>
      <c r="F253" s="37" t="n">
        <f aca="false">SUM(G253:R253)</f>
        <v>153165.83242</v>
      </c>
      <c r="G253" s="37" t="n">
        <v>0</v>
      </c>
      <c r="H253" s="37" t="n">
        <v>0</v>
      </c>
      <c r="I253" s="37" t="n">
        <v>0</v>
      </c>
      <c r="J253" s="37" t="n">
        <v>0</v>
      </c>
      <c r="K253" s="37" t="n">
        <v>0</v>
      </c>
      <c r="L253" s="37" t="n">
        <v>0</v>
      </c>
      <c r="M253" s="37" t="n">
        <v>0</v>
      </c>
      <c r="N253" s="37" t="n">
        <v>0</v>
      </c>
      <c r="O253" s="37" t="n">
        <v>151467.8281</v>
      </c>
      <c r="P253" s="37" t="n">
        <v>0</v>
      </c>
      <c r="Q253" s="37" t="n">
        <v>849.00216</v>
      </c>
      <c r="R253" s="37" t="n">
        <v>849.00216</v>
      </c>
      <c r="T253" s="49"/>
      <c r="U253" s="49"/>
      <c r="V253" s="49"/>
      <c r="W253" s="44"/>
    </row>
    <row r="254" s="42" customFormat="true" ht="31.3" hidden="false" customHeight="true" outlineLevel="0" collapsed="false">
      <c r="A254" s="58"/>
      <c r="B254" s="59"/>
      <c r="C254" s="31" t="s">
        <v>33</v>
      </c>
      <c r="D254" s="36"/>
      <c r="E254" s="36"/>
      <c r="F254" s="37" t="n">
        <f aca="false">SUM(G254:R254)</f>
        <v>0</v>
      </c>
      <c r="G254" s="37" t="n">
        <v>0</v>
      </c>
      <c r="H254" s="37" t="n">
        <v>0</v>
      </c>
      <c r="I254" s="37" t="n">
        <v>0</v>
      </c>
      <c r="J254" s="37" t="n">
        <v>0</v>
      </c>
      <c r="K254" s="37" t="n">
        <v>0</v>
      </c>
      <c r="L254" s="37" t="n">
        <v>0</v>
      </c>
      <c r="M254" s="37" t="n">
        <v>0</v>
      </c>
      <c r="N254" s="37" t="n">
        <v>0</v>
      </c>
      <c r="O254" s="37" t="n">
        <v>0</v>
      </c>
      <c r="P254" s="37" t="n">
        <v>0</v>
      </c>
      <c r="Q254" s="37" t="n">
        <v>0</v>
      </c>
      <c r="R254" s="37" t="n">
        <v>0</v>
      </c>
      <c r="T254" s="49"/>
      <c r="U254" s="49"/>
      <c r="V254" s="49"/>
      <c r="W254" s="44"/>
    </row>
    <row r="255" s="42" customFormat="true" ht="39.55" hidden="false" customHeight="true" outlineLevel="0" collapsed="false">
      <c r="A255" s="58"/>
      <c r="B255" s="59"/>
      <c r="C255" s="31" t="s">
        <v>34</v>
      </c>
      <c r="D255" s="36"/>
      <c r="E255" s="36"/>
      <c r="F255" s="37" t="n">
        <f aca="false">SUM(G255:R255)</f>
        <v>0</v>
      </c>
      <c r="G255" s="37" t="n">
        <v>0</v>
      </c>
      <c r="H255" s="37" t="n">
        <v>0</v>
      </c>
      <c r="I255" s="37" t="n">
        <v>0</v>
      </c>
      <c r="J255" s="37" t="n">
        <v>0</v>
      </c>
      <c r="K255" s="37" t="n">
        <v>0</v>
      </c>
      <c r="L255" s="37" t="n">
        <v>0</v>
      </c>
      <c r="M255" s="37" t="n">
        <v>0</v>
      </c>
      <c r="N255" s="37" t="n">
        <v>0</v>
      </c>
      <c r="O255" s="37" t="n">
        <v>0</v>
      </c>
      <c r="P255" s="37" t="n">
        <v>0</v>
      </c>
      <c r="Q255" s="37" t="n">
        <v>0</v>
      </c>
      <c r="R255" s="37" t="n">
        <v>0</v>
      </c>
      <c r="T255" s="49"/>
      <c r="U255" s="49"/>
      <c r="V255" s="49"/>
      <c r="W255" s="44"/>
    </row>
    <row r="256" s="42" customFormat="true" ht="29.1" hidden="false" customHeight="true" outlineLevel="0" collapsed="false">
      <c r="A256" s="58"/>
      <c r="B256" s="59"/>
      <c r="C256" s="31" t="s">
        <v>35</v>
      </c>
      <c r="D256" s="36"/>
      <c r="E256" s="36"/>
      <c r="F256" s="37" t="n">
        <f aca="false">SUM(G256:R256)</f>
        <v>0</v>
      </c>
      <c r="G256" s="37" t="n">
        <v>0</v>
      </c>
      <c r="H256" s="37" t="n">
        <v>0</v>
      </c>
      <c r="I256" s="37" t="n">
        <v>0</v>
      </c>
      <c r="J256" s="37" t="n">
        <v>0</v>
      </c>
      <c r="K256" s="37" t="n">
        <v>0</v>
      </c>
      <c r="L256" s="37" t="n">
        <v>0</v>
      </c>
      <c r="M256" s="37" t="n">
        <v>0</v>
      </c>
      <c r="N256" s="37" t="n">
        <v>0</v>
      </c>
      <c r="O256" s="37" t="n">
        <v>0</v>
      </c>
      <c r="P256" s="37" t="n">
        <v>0</v>
      </c>
      <c r="Q256" s="37" t="n">
        <v>0</v>
      </c>
      <c r="R256" s="37" t="n">
        <v>0</v>
      </c>
      <c r="T256" s="49"/>
      <c r="U256" s="49"/>
      <c r="V256" s="49"/>
      <c r="W256" s="44"/>
    </row>
    <row r="257" s="42" customFormat="true" ht="72" hidden="false" customHeight="true" outlineLevel="0" collapsed="false">
      <c r="A257" s="60"/>
      <c r="B257" s="61"/>
      <c r="C257" s="31" t="s">
        <v>36</v>
      </c>
      <c r="D257" s="36"/>
      <c r="E257" s="36"/>
      <c r="F257" s="37" t="n">
        <f aca="false">SUM(G257:R257)</f>
        <v>0</v>
      </c>
      <c r="G257" s="37" t="n">
        <v>0</v>
      </c>
      <c r="H257" s="37" t="n">
        <v>0</v>
      </c>
      <c r="I257" s="37" t="n">
        <v>0</v>
      </c>
      <c r="J257" s="37" t="n">
        <v>0</v>
      </c>
      <c r="K257" s="37" t="n">
        <v>0</v>
      </c>
      <c r="L257" s="37" t="n">
        <v>0</v>
      </c>
      <c r="M257" s="37" t="n">
        <v>0</v>
      </c>
      <c r="N257" s="37" t="n">
        <v>0</v>
      </c>
      <c r="O257" s="37" t="n">
        <v>0</v>
      </c>
      <c r="P257" s="37" t="n">
        <v>0</v>
      </c>
      <c r="Q257" s="37" t="n">
        <v>0</v>
      </c>
      <c r="R257" s="37" t="n">
        <v>0</v>
      </c>
      <c r="T257" s="49"/>
      <c r="U257" s="49"/>
      <c r="V257" s="49"/>
      <c r="W257" s="44"/>
    </row>
    <row r="258" s="42" customFormat="true" ht="18.65" hidden="false" customHeight="true" outlineLevel="0" collapsed="false">
      <c r="A258" s="60" t="s">
        <v>113</v>
      </c>
      <c r="B258" s="61" t="s">
        <v>114</v>
      </c>
      <c r="C258" s="31" t="s">
        <v>30</v>
      </c>
      <c r="D258" s="36"/>
      <c r="E258" s="36"/>
      <c r="F258" s="37" t="n">
        <f aca="false">SUM(G258:R258)</f>
        <v>17338468.54329</v>
      </c>
      <c r="G258" s="37" t="n">
        <f aca="false">G269+G276+G283+G293+G302+G309+G316+G329+G336+G343+G350+G364+G371</f>
        <v>1139817.10182</v>
      </c>
      <c r="H258" s="37" t="n">
        <f aca="false">H269+H276+H283+H293+H302+H309+H316+H329+H336+H343+H350+H364+H371</f>
        <v>1182430.1767</v>
      </c>
      <c r="I258" s="37" t="n">
        <f aca="false">I269+I276+I283+I293+I302+I309+I316+I329+I336+I343+I350+I364+I371</f>
        <v>1182197.57958</v>
      </c>
      <c r="J258" s="37" t="n">
        <f aca="false">J269+J276+J283+J293+J302+J309+J316+J329+J336+J343+J350+J364+J371</f>
        <v>1137527.51616</v>
      </c>
      <c r="K258" s="37" t="n">
        <f aca="false">K269+K276+K283+K293+K302+K309+K316+K329+K336+K343+K350+K364+K371</f>
        <v>1434384.7352</v>
      </c>
      <c r="L258" s="37" t="n">
        <f aca="false">L269+L276+L283+L293+L302+L309+L316+L329+L336+L343+L350+L364+L371</f>
        <v>1302989.07516</v>
      </c>
      <c r="M258" s="37" t="n">
        <f aca="false">M269+M276+M283+M293+M302+M309+M316+M329+M336+M343+M350+M364+M371</f>
        <v>1448938.83769</v>
      </c>
      <c r="N258" s="37" t="n">
        <f aca="false">N269+N276+N283+N293+N302+N309+N316+N329+N336+N343+N350+N364+N371</f>
        <v>1555085.9276</v>
      </c>
      <c r="O258" s="37" t="n">
        <f aca="false">O269+O276+O283+O293+O302+O309+O316+O329+O336+O343+O350+O364+O371+O378</f>
        <v>1659487.41229</v>
      </c>
      <c r="P258" s="37" t="n">
        <f aca="false">P269+P276+P283+P293+P302+P309+P316+P329+P336+P343+P350+P364+P371+P378+P385</f>
        <v>1780805.96723</v>
      </c>
      <c r="Q258" s="37" t="n">
        <f aca="false">Q269+Q276+Q283+Q293+Q302+Q309+Q316+Q329+Q336+Q343+Q350+Q364+Q371+Q378+Q385</f>
        <v>1717047.49486</v>
      </c>
      <c r="R258" s="37" t="n">
        <f aca="false">R269+R276+R283+R293+R302+R309+R316+R329+R336+R343+R350+R364+R371+R378+R385</f>
        <v>1797756.719</v>
      </c>
      <c r="S258" s="53"/>
      <c r="T258" s="49"/>
      <c r="U258" s="49"/>
      <c r="V258" s="49"/>
      <c r="W258" s="44"/>
    </row>
    <row r="259" s="42" customFormat="true" ht="39.55" hidden="false" customHeight="true" outlineLevel="0" collapsed="false">
      <c r="A259" s="60"/>
      <c r="B259" s="61"/>
      <c r="C259" s="31" t="s">
        <v>31</v>
      </c>
      <c r="D259" s="36" t="s">
        <v>42</v>
      </c>
      <c r="E259" s="36" t="s">
        <v>115</v>
      </c>
      <c r="F259" s="37" t="n">
        <f aca="false">SUM(G259:R259)</f>
        <v>365243.406</v>
      </c>
      <c r="G259" s="37" t="n">
        <f aca="false">G270+G277+G284+G294+G303+G310+G317+G330+G337+G344+G351+G365+G372+G320</f>
        <v>640</v>
      </c>
      <c r="H259" s="37" t="n">
        <f aca="false">H270+H277+H284+H294+H303+H310+H317+H330+H337+H344+H351+H365+H372+H320</f>
        <v>563.2</v>
      </c>
      <c r="I259" s="37" t="n">
        <f aca="false">I270+I277+I284+I294+I303+I310+I317+I330+I337+I344+I351+I365+I372+I320</f>
        <v>371.2</v>
      </c>
      <c r="J259" s="37" t="n">
        <f aca="false">J270+J277+J284+J294+J303+J310+J317+J330+J337+J344+J351+J365+J372+J320</f>
        <v>0</v>
      </c>
      <c r="K259" s="37" t="n">
        <f aca="false">K270+K277+K284+K294+K303+K310+K317+K330+K337+K344+K351+K365+K372+K320</f>
        <v>116739.33</v>
      </c>
      <c r="L259" s="37" t="n">
        <f aca="false">L270+L277+L284+L294+L303+L310+L317+L330+L337+L344+L351+L365+L372+L320</f>
        <v>0</v>
      </c>
      <c r="M259" s="37" t="n">
        <f aca="false">M270+M277+M284+M294+M303+M310+M317+M330+M337+M344+M351+M365+M372+M320</f>
        <v>0</v>
      </c>
      <c r="N259" s="37" t="n">
        <f aca="false">N270+N277+N284+N294+N303+N310+N317+N330+N337+N344+N351+N365+N372+N320</f>
        <v>13574.34</v>
      </c>
      <c r="O259" s="37" t="n">
        <f aca="false">O270+O277+O284+O294+O303+O310+O317+O330+O337+O344+O351+O365+O372+O320+O379</f>
        <v>79624.684</v>
      </c>
      <c r="P259" s="37" t="n">
        <f aca="false">P270+P277+P284+P294+P303+P310+P317+P330+P337+P344+P351+P365+P372+P320+P379+P386</f>
        <v>82276.084</v>
      </c>
      <c r="Q259" s="37" t="n">
        <f aca="false">Q270+Q277+Q284+Q294+Q303+Q310+Q317+Q330+Q337+Q344+Q351+Q365+Q372+Q320+Q379+Q386</f>
        <v>35727.284</v>
      </c>
      <c r="R259" s="37" t="n">
        <f aca="false">R270+R277+R284+R294+R303+R310+R317+R330+R337+R344+R351+R365+R372+R320+R379+R386</f>
        <v>35727.284</v>
      </c>
      <c r="T259" s="69" t="n">
        <f aca="false">1780805.96723-P258</f>
        <v>-2.3283064365387E-010</v>
      </c>
      <c r="U259" s="69" t="n">
        <f aca="false">1717047.49486-Q258</f>
        <v>0</v>
      </c>
      <c r="V259" s="69" t="n">
        <f aca="false">1797756.719-R258</f>
        <v>0</v>
      </c>
      <c r="W259" s="44"/>
    </row>
    <row r="260" s="42" customFormat="true" ht="43.25" hidden="false" customHeight="true" outlineLevel="0" collapsed="false">
      <c r="A260" s="60"/>
      <c r="B260" s="61"/>
      <c r="C260" s="31" t="s">
        <v>31</v>
      </c>
      <c r="D260" s="36" t="s">
        <v>48</v>
      </c>
      <c r="E260" s="36" t="s">
        <v>115</v>
      </c>
      <c r="F260" s="37" t="n">
        <f aca="false">SUM(G260:R260)</f>
        <v>23348.544</v>
      </c>
      <c r="G260" s="37" t="n">
        <v>0</v>
      </c>
      <c r="H260" s="37" t="n">
        <v>0</v>
      </c>
      <c r="I260" s="37" t="n">
        <v>0</v>
      </c>
      <c r="J260" s="37" t="n">
        <v>0</v>
      </c>
      <c r="K260" s="37" t="n">
        <v>0</v>
      </c>
      <c r="L260" s="37" t="n">
        <v>0</v>
      </c>
      <c r="M260" s="37" t="n">
        <v>0</v>
      </c>
      <c r="N260" s="37" t="n">
        <f aca="false">N295+N320</f>
        <v>1749.888</v>
      </c>
      <c r="O260" s="37" t="n">
        <f aca="false">O295+O320</f>
        <v>5399.664</v>
      </c>
      <c r="P260" s="37" t="n">
        <f aca="false">P295+P320</f>
        <v>5399.664</v>
      </c>
      <c r="Q260" s="37" t="n">
        <f aca="false">Q295+Q320</f>
        <v>5399.664</v>
      </c>
      <c r="R260" s="37" t="n">
        <f aca="false">R295+R320</f>
        <v>5399.664</v>
      </c>
      <c r="T260" s="70" t="n">
        <f aca="false">5399.664-P260</f>
        <v>0</v>
      </c>
      <c r="U260" s="70" t="n">
        <f aca="false">5399.664-Q260</f>
        <v>0</v>
      </c>
      <c r="V260" s="70" t="n">
        <f aca="false">5399.664-R260</f>
        <v>0</v>
      </c>
      <c r="W260" s="44"/>
    </row>
    <row r="261" s="42" customFormat="true" ht="38.8" hidden="false" customHeight="true" outlineLevel="0" collapsed="false">
      <c r="A261" s="60"/>
      <c r="B261" s="61"/>
      <c r="C261" s="31" t="s">
        <v>31</v>
      </c>
      <c r="D261" s="36" t="s">
        <v>116</v>
      </c>
      <c r="E261" s="36" t="s">
        <v>115</v>
      </c>
      <c r="F261" s="37" t="n">
        <f aca="false">SUM(G261:R261)</f>
        <v>6041.18</v>
      </c>
      <c r="G261" s="37" t="n">
        <v>0</v>
      </c>
      <c r="H261" s="37" t="n">
        <v>0</v>
      </c>
      <c r="I261" s="37" t="n">
        <v>0</v>
      </c>
      <c r="J261" s="37" t="n">
        <v>0</v>
      </c>
      <c r="K261" s="37" t="n">
        <v>0</v>
      </c>
      <c r="L261" s="37" t="n">
        <v>0</v>
      </c>
      <c r="M261" s="37" t="n">
        <v>0</v>
      </c>
      <c r="N261" s="37" t="n">
        <f aca="false">N296</f>
        <v>437.472</v>
      </c>
      <c r="O261" s="37" t="n">
        <f aca="false">O296</f>
        <v>1362.852</v>
      </c>
      <c r="P261" s="37" t="n">
        <f aca="false">P296</f>
        <v>1361.752</v>
      </c>
      <c r="Q261" s="37" t="n">
        <f aca="false">Q296</f>
        <v>1439.552</v>
      </c>
      <c r="R261" s="37" t="n">
        <f aca="false">R296</f>
        <v>1439.552</v>
      </c>
      <c r="T261" s="70" t="n">
        <f aca="false">1361.752-P261</f>
        <v>0</v>
      </c>
      <c r="U261" s="70" t="n">
        <f aca="false">1439.552-Q261</f>
        <v>0</v>
      </c>
      <c r="V261" s="70" t="n">
        <f aca="false">1439.552-R261</f>
        <v>0</v>
      </c>
      <c r="W261" s="44"/>
    </row>
    <row r="262" s="42" customFormat="true" ht="28.35" hidden="false" customHeight="true" outlineLevel="0" collapsed="false">
      <c r="A262" s="60"/>
      <c r="B262" s="61"/>
      <c r="C262" s="31" t="s">
        <v>32</v>
      </c>
      <c r="D262" s="36" t="s">
        <v>42</v>
      </c>
      <c r="E262" s="36" t="s">
        <v>115</v>
      </c>
      <c r="F262" s="37" t="n">
        <f aca="false">SUM(G262:R262)</f>
        <v>16891640.10724</v>
      </c>
      <c r="G262" s="37" t="n">
        <f aca="false">G271+G278+G285+G297+G304+G311+G318+G331+G338+G345+G352+G366+G373+G290+G287</f>
        <v>1135077.10182</v>
      </c>
      <c r="H262" s="37" t="n">
        <f aca="false">H271+H278+H285+H297+H304+H311+H318+H331+H338+H345+H352+H366+H373+H290+H287</f>
        <v>1177266.9767</v>
      </c>
      <c r="I262" s="37" t="n">
        <f aca="false">I271+I278+I285+I297+I304+I311+I318+I331+I338+I345+I352+I366+I373+I290+I287</f>
        <v>1177626.37958</v>
      </c>
      <c r="J262" s="37" t="n">
        <f aca="false">J271+J278+J285+J297+J304+J311+J318+J331+J338+J345+J352+J366+J373+J290+J287</f>
        <v>1133127.51616</v>
      </c>
      <c r="K262" s="37" t="n">
        <f aca="false">K271+K278+K285+K297+K304+K311+K318+K331+K338+K345+K352+K366+K373+K290+K287</f>
        <v>1312385.4052</v>
      </c>
      <c r="L262" s="37" t="n">
        <f aca="false">L271+L278+L297+L304+L311+L318+L331+L338+L345+L352+L373+L290+L287+L285-L287+L366</f>
        <v>1292081.93893</v>
      </c>
      <c r="M262" s="37" t="n">
        <f aca="false">M271+M278+M285+M297+M304+M311+M318+M331+M338+M345+M352+M366+M373+M290+M287</f>
        <v>1441336.35169</v>
      </c>
      <c r="N262" s="37" t="n">
        <f aca="false">N271+N278+N285+N297+N304+N311+N318+N331+N338+N345+N352+N366+N373+N290+N287</f>
        <v>1529457.65178</v>
      </c>
      <c r="O262" s="37" t="n">
        <f aca="false">O271+O278+O285+O297+O304+O311+O318+O331+O338+O345+O352+O366+O373+O290+O287+O380</f>
        <v>1571841.10429</v>
      </c>
      <c r="P262" s="37" t="n">
        <f aca="false">P271+P278+P285+P297+P304+P311+P318+P331+P338+P345+P352+P366+P373+P290+P287+P380+P387</f>
        <v>1691768.46723</v>
      </c>
      <c r="Q262" s="37" t="n">
        <f aca="false">Q271+Q278+Q285+Q297+Q304+Q311+Q318+Q331+Q338+Q345+Q352+Q366+Q373+Q290+Q287+Q380+Q387</f>
        <v>1674480.99486</v>
      </c>
      <c r="R262" s="37" t="n">
        <f aca="false">R271+R278+R285+R297+R304+R311+R318+R331+R338+R345+R352+R366+R373+R290+R287+R380+R387</f>
        <v>1755190.219</v>
      </c>
      <c r="T262" s="11" t="n">
        <f aca="false">1780805.96723-P259-P260-P261-P262</f>
        <v>-6.98491930961609E-010</v>
      </c>
      <c r="U262" s="71" t="n">
        <f aca="false">1674480.99486-Q262</f>
        <v>0</v>
      </c>
      <c r="V262" s="49" t="n">
        <f aca="false">1755190.219-R262</f>
        <v>0</v>
      </c>
    </row>
    <row r="263" s="42" customFormat="true" ht="29.1" hidden="false" customHeight="true" outlineLevel="0" collapsed="false">
      <c r="A263" s="60"/>
      <c r="B263" s="61"/>
      <c r="C263" s="31" t="s">
        <v>32</v>
      </c>
      <c r="D263" s="36" t="s">
        <v>116</v>
      </c>
      <c r="E263" s="36" t="s">
        <v>115</v>
      </c>
      <c r="F263" s="37" t="n">
        <f aca="false">SUM(G263:R263)</f>
        <v>27560</v>
      </c>
      <c r="G263" s="37" t="n">
        <f aca="false">G324</f>
        <v>4100</v>
      </c>
      <c r="H263" s="37" t="n">
        <f aca="false">H324</f>
        <v>4600</v>
      </c>
      <c r="I263" s="37" t="n">
        <f aca="false">I324</f>
        <v>4200</v>
      </c>
      <c r="J263" s="37" t="n">
        <f aca="false">J324</f>
        <v>4400</v>
      </c>
      <c r="K263" s="37" t="n">
        <f aca="false">K324</f>
        <v>5260</v>
      </c>
      <c r="L263" s="37" t="n">
        <f aca="false">L324</f>
        <v>3000</v>
      </c>
      <c r="M263" s="37" t="n">
        <f aca="false">M324</f>
        <v>1000</v>
      </c>
      <c r="N263" s="37" t="n">
        <f aca="false">N324</f>
        <v>1000</v>
      </c>
      <c r="O263" s="37" t="n">
        <f aca="false">O324</f>
        <v>0</v>
      </c>
      <c r="P263" s="37" t="n">
        <f aca="false">P324</f>
        <v>0</v>
      </c>
      <c r="Q263" s="37" t="n">
        <f aca="false">Q324</f>
        <v>0</v>
      </c>
      <c r="R263" s="37" t="n">
        <f aca="false">R324</f>
        <v>0</v>
      </c>
      <c r="T263" s="70"/>
      <c r="U263" s="70"/>
      <c r="V263" s="70"/>
      <c r="W263" s="44"/>
    </row>
    <row r="264" s="42" customFormat="true" ht="26.85" hidden="false" customHeight="true" outlineLevel="0" collapsed="false">
      <c r="A264" s="60"/>
      <c r="B264" s="61"/>
      <c r="C264" s="31" t="s">
        <v>32</v>
      </c>
      <c r="D264" s="36" t="s">
        <v>117</v>
      </c>
      <c r="E264" s="36" t="s">
        <v>115</v>
      </c>
      <c r="F264" s="37" t="n">
        <f aca="false">SUM(G264:R264)</f>
        <v>24635.30605</v>
      </c>
      <c r="G264" s="37" t="n">
        <f aca="false">G287+G368</f>
        <v>0</v>
      </c>
      <c r="H264" s="37" t="n">
        <f aca="false">H287+H368</f>
        <v>0</v>
      </c>
      <c r="I264" s="37" t="n">
        <f aca="false">I287+I368</f>
        <v>0</v>
      </c>
      <c r="J264" s="37" t="n">
        <f aca="false">J287+J368</f>
        <v>0</v>
      </c>
      <c r="K264" s="37" t="n">
        <f aca="false">K287+K368</f>
        <v>0</v>
      </c>
      <c r="L264" s="37" t="n">
        <f aca="false">L287+L368</f>
        <v>7907.13623</v>
      </c>
      <c r="M264" s="37" t="n">
        <f aca="false">M287+M368</f>
        <v>6602.486</v>
      </c>
      <c r="N264" s="37" t="n">
        <f aca="false">N287+N368</f>
        <v>8866.57582</v>
      </c>
      <c r="O264" s="37" t="n">
        <f aca="false">O287+O368</f>
        <v>1259.108</v>
      </c>
      <c r="P264" s="37" t="n">
        <f aca="false">P287+P368</f>
        <v>0</v>
      </c>
      <c r="Q264" s="37" t="n">
        <f aca="false">Q287+Q368</f>
        <v>0</v>
      </c>
      <c r="R264" s="37" t="n">
        <v>0</v>
      </c>
      <c r="T264" s="70" t="n">
        <f aca="false">1259.108-O264</f>
        <v>0</v>
      </c>
      <c r="U264" s="70" t="n">
        <v>0</v>
      </c>
      <c r="V264" s="70" t="n">
        <v>0</v>
      </c>
      <c r="W264" s="44"/>
    </row>
    <row r="265" s="42" customFormat="true" ht="28.35" hidden="false" customHeight="true" outlineLevel="0" collapsed="false">
      <c r="A265" s="60"/>
      <c r="B265" s="61"/>
      <c r="C265" s="31" t="s">
        <v>33</v>
      </c>
      <c r="D265" s="36"/>
      <c r="E265" s="36"/>
      <c r="F265" s="37" t="n">
        <f aca="false">F272+F279+F286+F298+F305+F312+F319+F332+F339</f>
        <v>0</v>
      </c>
      <c r="G265" s="37" t="n">
        <f aca="false">G272+G279+G286+G298+G305+G312+G319+G332+G339+G346+G353+G367+G374</f>
        <v>0</v>
      </c>
      <c r="H265" s="37" t="n">
        <f aca="false">H272+H279+H286+H291+H298+H305+H312+H319+H332+H339</f>
        <v>0</v>
      </c>
      <c r="I265" s="37" t="n">
        <f aca="false">I272+I279+I286+I291+I298+I305+I312+I319+I332+I339</f>
        <v>0</v>
      </c>
      <c r="J265" s="37" t="n">
        <f aca="false">J272+J279+J286+J291+J298+J305+J312+J319+J332+J339</f>
        <v>0</v>
      </c>
      <c r="K265" s="37" t="n">
        <f aca="false">K272+K279+K286+K291+K298+K305+K312+K319+K332+K339</f>
        <v>0</v>
      </c>
      <c r="L265" s="37" t="n">
        <f aca="false">L272+L279+L286+L291+L298+L305+L312+L319+L332+L339</f>
        <v>0</v>
      </c>
      <c r="M265" s="37" t="n">
        <f aca="false">L265*104/100</f>
        <v>0</v>
      </c>
      <c r="N265" s="37" t="n">
        <f aca="false">M265*104/100</f>
        <v>0</v>
      </c>
      <c r="O265" s="33" t="n">
        <v>0</v>
      </c>
      <c r="P265" s="33" t="n">
        <v>0</v>
      </c>
      <c r="Q265" s="33" t="n">
        <v>0</v>
      </c>
      <c r="R265" s="37" t="n">
        <v>0</v>
      </c>
      <c r="T265" s="49"/>
      <c r="U265" s="49"/>
      <c r="V265" s="49"/>
      <c r="W265" s="44"/>
    </row>
    <row r="266" s="42" customFormat="true" ht="42.5" hidden="false" customHeight="true" outlineLevel="0" collapsed="false">
      <c r="A266" s="60"/>
      <c r="B266" s="61"/>
      <c r="C266" s="31" t="s">
        <v>34</v>
      </c>
      <c r="D266" s="36"/>
      <c r="E266" s="36"/>
      <c r="F266" s="37" t="n">
        <v>0</v>
      </c>
      <c r="G266" s="37" t="n">
        <f aca="false">G273+G280+G287+G299+G306+G313+G320+G333+G340+G347+G354+G368+G375</f>
        <v>0</v>
      </c>
      <c r="H266" s="37" t="n">
        <v>0</v>
      </c>
      <c r="I266" s="37" t="n">
        <v>0</v>
      </c>
      <c r="J266" s="37" t="n">
        <v>0</v>
      </c>
      <c r="K266" s="37" t="n">
        <v>0</v>
      </c>
      <c r="L266" s="37" t="n">
        <v>0</v>
      </c>
      <c r="M266" s="37" t="n">
        <f aca="false">L266*104/100</f>
        <v>0</v>
      </c>
      <c r="N266" s="37" t="n">
        <v>0</v>
      </c>
      <c r="O266" s="33" t="n">
        <v>0</v>
      </c>
      <c r="P266" s="33" t="n">
        <v>0</v>
      </c>
      <c r="Q266" s="33" t="n">
        <v>0</v>
      </c>
      <c r="R266" s="37" t="n">
        <v>0</v>
      </c>
      <c r="T266" s="49"/>
      <c r="U266" s="49"/>
      <c r="V266" s="49"/>
      <c r="W266" s="44"/>
    </row>
    <row r="267" s="42" customFormat="true" ht="31.3" hidden="false" customHeight="true" outlineLevel="0" collapsed="false">
      <c r="A267" s="60"/>
      <c r="B267" s="61"/>
      <c r="C267" s="31" t="s">
        <v>35</v>
      </c>
      <c r="D267" s="36"/>
      <c r="E267" s="36"/>
      <c r="F267" s="37" t="n">
        <v>0</v>
      </c>
      <c r="G267" s="37" t="n">
        <f aca="false">G274+G281+G288+G300+G307+G314+G321+G334+G341+G348+G355+G369+G376</f>
        <v>0</v>
      </c>
      <c r="H267" s="37" t="n">
        <v>0</v>
      </c>
      <c r="I267" s="37" t="n">
        <v>0</v>
      </c>
      <c r="J267" s="37" t="n">
        <v>0</v>
      </c>
      <c r="K267" s="37" t="n">
        <v>0</v>
      </c>
      <c r="L267" s="37" t="n">
        <v>0</v>
      </c>
      <c r="M267" s="37" t="n">
        <f aca="false">L267*104/100</f>
        <v>0</v>
      </c>
      <c r="N267" s="37" t="n">
        <v>0</v>
      </c>
      <c r="O267" s="33" t="n">
        <v>0</v>
      </c>
      <c r="P267" s="33" t="n">
        <v>0</v>
      </c>
      <c r="Q267" s="33" t="n">
        <v>0</v>
      </c>
      <c r="R267" s="37" t="n">
        <v>0</v>
      </c>
      <c r="T267" s="49"/>
      <c r="U267" s="49"/>
      <c r="V267" s="49"/>
      <c r="W267" s="44"/>
    </row>
    <row r="268" s="42" customFormat="true" ht="73.1" hidden="false" customHeight="true" outlineLevel="0" collapsed="false">
      <c r="A268" s="60"/>
      <c r="B268" s="61"/>
      <c r="C268" s="31" t="s">
        <v>36</v>
      </c>
      <c r="D268" s="36"/>
      <c r="E268" s="36"/>
      <c r="F268" s="37" t="n">
        <v>0</v>
      </c>
      <c r="G268" s="37" t="n">
        <f aca="false">G275+G282+G289+G301+G308+G315+G322+G335+G342+G349+G356+G370+G377</f>
        <v>0</v>
      </c>
      <c r="H268" s="37" t="n">
        <v>0</v>
      </c>
      <c r="I268" s="37" t="n">
        <v>0</v>
      </c>
      <c r="J268" s="37" t="n">
        <v>0</v>
      </c>
      <c r="K268" s="37" t="n">
        <v>0</v>
      </c>
      <c r="L268" s="37" t="n">
        <v>0</v>
      </c>
      <c r="M268" s="37" t="n">
        <f aca="false">L268*104/100</f>
        <v>0</v>
      </c>
      <c r="N268" s="37" t="n">
        <v>0</v>
      </c>
      <c r="O268" s="33" t="n">
        <v>0</v>
      </c>
      <c r="P268" s="33" t="n">
        <v>0</v>
      </c>
      <c r="Q268" s="33" t="n">
        <v>0</v>
      </c>
      <c r="R268" s="37" t="n">
        <v>0</v>
      </c>
      <c r="T268" s="49"/>
      <c r="U268" s="49"/>
      <c r="V268" s="49"/>
      <c r="W268" s="44"/>
    </row>
    <row r="269" s="42" customFormat="true" ht="18.65" hidden="false" customHeight="true" outlineLevel="0" collapsed="false">
      <c r="A269" s="64" t="s">
        <v>118</v>
      </c>
      <c r="B269" s="54" t="s">
        <v>119</v>
      </c>
      <c r="C269" s="31" t="s">
        <v>30</v>
      </c>
      <c r="D269" s="36" t="s">
        <v>42</v>
      </c>
      <c r="E269" s="36" t="s">
        <v>115</v>
      </c>
      <c r="F269" s="37" t="n">
        <f aca="false">SUM(G269:R269)</f>
        <v>11542233.04637</v>
      </c>
      <c r="G269" s="37" t="n">
        <f aca="false">SUM(G270:G275)</f>
        <v>742463.827</v>
      </c>
      <c r="H269" s="37" t="n">
        <f aca="false">SUM(H270:H275)</f>
        <v>798220.28748</v>
      </c>
      <c r="I269" s="37" t="n">
        <f aca="false">SUM(I270:I275)</f>
        <v>811747.23229</v>
      </c>
      <c r="J269" s="37" t="n">
        <f aca="false">SUM(J270:J275)</f>
        <v>827699.27606</v>
      </c>
      <c r="K269" s="37" t="n">
        <f aca="false">SUM(K270:K275)</f>
        <v>899257.77644</v>
      </c>
      <c r="L269" s="37" t="n">
        <f aca="false">SUM(L270:L275)</f>
        <v>945315.8854</v>
      </c>
      <c r="M269" s="37" t="n">
        <f aca="false">SUM(M270:M275)</f>
        <v>1013968.01096</v>
      </c>
      <c r="N269" s="37" t="n">
        <f aca="false">SUM(N270:N275)</f>
        <v>1042173.9075</v>
      </c>
      <c r="O269" s="37" t="n">
        <f aca="false">SUM(O270:O275)</f>
        <v>1060651.48024</v>
      </c>
      <c r="P269" s="37" t="n">
        <f aca="false">SUM(P270:P275)</f>
        <v>1063552.351</v>
      </c>
      <c r="Q269" s="37" t="n">
        <f aca="false">SUM(Q270:Q275)</f>
        <v>1128022.551</v>
      </c>
      <c r="R269" s="37" t="n">
        <f aca="false">SUM(R270:R275)</f>
        <v>1209160.461</v>
      </c>
      <c r="T269" s="49"/>
      <c r="U269" s="49"/>
      <c r="V269" s="49"/>
      <c r="W269" s="44"/>
    </row>
    <row r="270" s="42" customFormat="true" ht="40.25" hidden="false" customHeight="true" outlineLevel="0" collapsed="false">
      <c r="A270" s="64"/>
      <c r="B270" s="54"/>
      <c r="C270" s="31" t="s">
        <v>31</v>
      </c>
      <c r="D270" s="36"/>
      <c r="E270" s="36"/>
      <c r="F270" s="37" t="n">
        <f aca="false">SUM(G270:R270)</f>
        <v>0</v>
      </c>
      <c r="G270" s="37" t="n">
        <v>0</v>
      </c>
      <c r="H270" s="37" t="n">
        <v>0</v>
      </c>
      <c r="I270" s="37" t="n">
        <v>0</v>
      </c>
      <c r="J270" s="37" t="n">
        <v>0</v>
      </c>
      <c r="K270" s="37" t="n">
        <v>0</v>
      </c>
      <c r="L270" s="37" t="n">
        <v>0</v>
      </c>
      <c r="M270" s="37" t="n">
        <f aca="false">L270*104/100</f>
        <v>0</v>
      </c>
      <c r="N270" s="37" t="n">
        <v>0</v>
      </c>
      <c r="O270" s="33" t="n">
        <v>0</v>
      </c>
      <c r="P270" s="33" t="n">
        <v>0</v>
      </c>
      <c r="Q270" s="33" t="n">
        <v>0</v>
      </c>
      <c r="R270" s="37" t="n">
        <v>0</v>
      </c>
      <c r="T270" s="49"/>
      <c r="U270" s="49"/>
      <c r="V270" s="49"/>
      <c r="W270" s="44"/>
    </row>
    <row r="271" s="42" customFormat="true" ht="29.85" hidden="false" customHeight="true" outlineLevel="0" collapsed="false">
      <c r="A271" s="64"/>
      <c r="B271" s="54"/>
      <c r="C271" s="31" t="s">
        <v>32</v>
      </c>
      <c r="D271" s="36"/>
      <c r="E271" s="36"/>
      <c r="F271" s="37" t="n">
        <f aca="false">SUM(G271:R271)</f>
        <v>11542233.04637</v>
      </c>
      <c r="G271" s="37" t="n">
        <v>742463.827</v>
      </c>
      <c r="H271" s="37" t="n">
        <v>798220.28748</v>
      </c>
      <c r="I271" s="37" t="n">
        <v>811747.23229</v>
      </c>
      <c r="J271" s="37" t="n">
        <v>827699.27606</v>
      </c>
      <c r="K271" s="37" t="n">
        <v>899257.77644</v>
      </c>
      <c r="L271" s="37" t="n">
        <v>945315.8854</v>
      </c>
      <c r="M271" s="37" t="n">
        <v>1013968.01096</v>
      </c>
      <c r="N271" s="72" t="n">
        <v>1042173.9075</v>
      </c>
      <c r="O271" s="37" t="n">
        <v>1060651.48024</v>
      </c>
      <c r="P271" s="37" t="n">
        <v>1063552.351</v>
      </c>
      <c r="Q271" s="37" t="n">
        <v>1128022.551</v>
      </c>
      <c r="R271" s="37" t="n">
        <v>1209160.461</v>
      </c>
      <c r="T271" s="49"/>
      <c r="U271" s="49"/>
      <c r="V271" s="49"/>
      <c r="W271" s="44"/>
    </row>
    <row r="272" s="42" customFormat="true" ht="29.1" hidden="false" customHeight="true" outlineLevel="0" collapsed="false">
      <c r="A272" s="64"/>
      <c r="B272" s="54"/>
      <c r="C272" s="31" t="s">
        <v>33</v>
      </c>
      <c r="D272" s="36"/>
      <c r="E272" s="36"/>
      <c r="F272" s="37" t="n">
        <f aca="false">SUM(G272:R272)</f>
        <v>0</v>
      </c>
      <c r="G272" s="37" t="n">
        <v>0</v>
      </c>
      <c r="H272" s="37" t="n">
        <v>0</v>
      </c>
      <c r="I272" s="37" t="n">
        <v>0</v>
      </c>
      <c r="J272" s="37" t="n">
        <v>0</v>
      </c>
      <c r="K272" s="37" t="n">
        <v>0</v>
      </c>
      <c r="L272" s="37" t="n">
        <v>0</v>
      </c>
      <c r="M272" s="37" t="n">
        <f aca="false">L272*104/100</f>
        <v>0</v>
      </c>
      <c r="N272" s="37" t="n">
        <v>0</v>
      </c>
      <c r="O272" s="33" t="n">
        <v>0</v>
      </c>
      <c r="P272" s="33" t="n">
        <v>0</v>
      </c>
      <c r="Q272" s="33" t="n">
        <v>0</v>
      </c>
      <c r="R272" s="37" t="n">
        <v>0</v>
      </c>
      <c r="T272" s="49"/>
      <c r="U272" s="49"/>
      <c r="V272" s="49"/>
      <c r="W272" s="44"/>
    </row>
    <row r="273" s="42" customFormat="true" ht="40.25" hidden="false" customHeight="true" outlineLevel="0" collapsed="false">
      <c r="A273" s="64"/>
      <c r="B273" s="54"/>
      <c r="C273" s="31" t="s">
        <v>34</v>
      </c>
      <c r="D273" s="36"/>
      <c r="E273" s="36"/>
      <c r="F273" s="37" t="n">
        <f aca="false">SUM(G273:R273)</f>
        <v>0</v>
      </c>
      <c r="G273" s="37" t="n">
        <v>0</v>
      </c>
      <c r="H273" s="37" t="n">
        <v>0</v>
      </c>
      <c r="I273" s="37" t="n">
        <v>0</v>
      </c>
      <c r="J273" s="37" t="n">
        <v>0</v>
      </c>
      <c r="K273" s="37" t="n">
        <v>0</v>
      </c>
      <c r="L273" s="37" t="n">
        <v>0</v>
      </c>
      <c r="M273" s="37" t="n">
        <f aca="false">L273*104/100</f>
        <v>0</v>
      </c>
      <c r="N273" s="37" t="n">
        <v>0</v>
      </c>
      <c r="O273" s="33" t="n">
        <v>0</v>
      </c>
      <c r="P273" s="33" t="n">
        <v>0</v>
      </c>
      <c r="Q273" s="33" t="n">
        <v>0</v>
      </c>
      <c r="R273" s="37" t="n">
        <v>0</v>
      </c>
      <c r="T273" s="49"/>
      <c r="U273" s="49"/>
      <c r="V273" s="49"/>
      <c r="W273" s="44"/>
    </row>
    <row r="274" s="42" customFormat="true" ht="35.8" hidden="false" customHeight="true" outlineLevel="0" collapsed="false">
      <c r="A274" s="64"/>
      <c r="B274" s="54"/>
      <c r="C274" s="31" t="s">
        <v>35</v>
      </c>
      <c r="D274" s="36"/>
      <c r="E274" s="36"/>
      <c r="F274" s="37" t="n">
        <f aca="false">SUM(G274:R274)</f>
        <v>0</v>
      </c>
      <c r="G274" s="37" t="n">
        <v>0</v>
      </c>
      <c r="H274" s="37" t="n">
        <v>0</v>
      </c>
      <c r="I274" s="37" t="n">
        <v>0</v>
      </c>
      <c r="J274" s="37" t="n">
        <v>0</v>
      </c>
      <c r="K274" s="37" t="n">
        <v>0</v>
      </c>
      <c r="L274" s="37" t="n">
        <v>0</v>
      </c>
      <c r="M274" s="37" t="n">
        <f aca="false">L274*104/100</f>
        <v>0</v>
      </c>
      <c r="N274" s="37" t="n">
        <v>0</v>
      </c>
      <c r="O274" s="33" t="n">
        <v>0</v>
      </c>
      <c r="P274" s="33" t="n">
        <v>0</v>
      </c>
      <c r="Q274" s="33" t="n">
        <v>0</v>
      </c>
      <c r="R274" s="37" t="n">
        <v>0</v>
      </c>
      <c r="T274" s="49"/>
      <c r="U274" s="49"/>
      <c r="V274" s="49"/>
      <c r="W274" s="44"/>
    </row>
    <row r="275" s="42" customFormat="true" ht="75.35" hidden="false" customHeight="true" outlineLevel="0" collapsed="false">
      <c r="A275" s="64"/>
      <c r="B275" s="54"/>
      <c r="C275" s="31" t="s">
        <v>36</v>
      </c>
      <c r="D275" s="36"/>
      <c r="E275" s="36"/>
      <c r="F275" s="37" t="n">
        <f aca="false">SUM(G275:R275)</f>
        <v>0</v>
      </c>
      <c r="G275" s="37" t="n">
        <v>0</v>
      </c>
      <c r="H275" s="37" t="n">
        <v>0</v>
      </c>
      <c r="I275" s="37" t="n">
        <v>0</v>
      </c>
      <c r="J275" s="37" t="n">
        <v>0</v>
      </c>
      <c r="K275" s="37" t="n">
        <v>0</v>
      </c>
      <c r="L275" s="37" t="n">
        <v>0</v>
      </c>
      <c r="M275" s="37" t="n">
        <f aca="false">L275*104/100</f>
        <v>0</v>
      </c>
      <c r="N275" s="37" t="n">
        <v>0</v>
      </c>
      <c r="O275" s="33" t="n">
        <v>0</v>
      </c>
      <c r="P275" s="33" t="n">
        <v>0</v>
      </c>
      <c r="Q275" s="33" t="n">
        <v>0</v>
      </c>
      <c r="R275" s="37" t="n">
        <v>0</v>
      </c>
      <c r="T275" s="49"/>
      <c r="U275" s="49"/>
      <c r="V275" s="49"/>
      <c r="W275" s="44"/>
    </row>
    <row r="276" s="42" customFormat="true" ht="15.65" hidden="false" customHeight="true" outlineLevel="0" collapsed="false">
      <c r="A276" s="64" t="s">
        <v>120</v>
      </c>
      <c r="B276" s="54" t="s">
        <v>121</v>
      </c>
      <c r="C276" s="31" t="s">
        <v>30</v>
      </c>
      <c r="D276" s="36" t="s">
        <v>42</v>
      </c>
      <c r="E276" s="36" t="s">
        <v>115</v>
      </c>
      <c r="F276" s="37" t="n">
        <f aca="false">SUM(G276:R276)</f>
        <v>58665.20268</v>
      </c>
      <c r="G276" s="37" t="n">
        <f aca="false">SUM(G277:G282)</f>
        <v>9200</v>
      </c>
      <c r="H276" s="37" t="n">
        <f aca="false">SUM(H277:H282)</f>
        <v>4650</v>
      </c>
      <c r="I276" s="37" t="n">
        <f aca="false">SUM(I277:I282)</f>
        <v>13800</v>
      </c>
      <c r="J276" s="37" t="n">
        <f aca="false">SUM(J277:J282)</f>
        <v>14039.4</v>
      </c>
      <c r="K276" s="37" t="n">
        <f aca="false">SUM(K277:K282)</f>
        <v>12101.78948</v>
      </c>
      <c r="L276" s="37" t="n">
        <f aca="false">SUM(L277:L282)</f>
        <v>2800</v>
      </c>
      <c r="M276" s="37" t="n">
        <f aca="false">SUM(M277:M282)</f>
        <v>1908.1212</v>
      </c>
      <c r="N276" s="37" t="n">
        <f aca="false">SUM(N277:N282)</f>
        <v>0</v>
      </c>
      <c r="O276" s="37" t="n">
        <f aca="false">SUM(O277:O282)</f>
        <v>165.892</v>
      </c>
      <c r="P276" s="37" t="n">
        <f aca="false">SUM(P277:P282)</f>
        <v>0</v>
      </c>
      <c r="Q276" s="37" t="n">
        <f aca="false">SUM(Q277:Q282)</f>
        <v>0</v>
      </c>
      <c r="R276" s="37" t="n">
        <f aca="false">SUM(R277:R282)</f>
        <v>0</v>
      </c>
      <c r="T276" s="49"/>
      <c r="U276" s="49"/>
      <c r="V276" s="49"/>
      <c r="W276" s="44"/>
    </row>
    <row r="277" s="42" customFormat="true" ht="41" hidden="false" customHeight="true" outlineLevel="0" collapsed="false">
      <c r="A277" s="64"/>
      <c r="B277" s="54"/>
      <c r="C277" s="31" t="s">
        <v>31</v>
      </c>
      <c r="D277" s="36"/>
      <c r="E277" s="36"/>
      <c r="F277" s="37" t="n">
        <f aca="false">SUM(G277:R277)</f>
        <v>7601.7</v>
      </c>
      <c r="G277" s="37" t="n">
        <v>0</v>
      </c>
      <c r="H277" s="37" t="n">
        <v>0</v>
      </c>
      <c r="I277" s="37" t="n">
        <v>0</v>
      </c>
      <c r="J277" s="37" t="n">
        <v>0</v>
      </c>
      <c r="K277" s="37" t="n">
        <v>7601.7</v>
      </c>
      <c r="L277" s="37" t="n">
        <v>0</v>
      </c>
      <c r="M277" s="37" t="n">
        <f aca="false">L277*104/100</f>
        <v>0</v>
      </c>
      <c r="N277" s="37" t="n">
        <f aca="false">M277*104/100</f>
        <v>0</v>
      </c>
      <c r="O277" s="37" t="n">
        <f aca="false">N277*104/100</f>
        <v>0</v>
      </c>
      <c r="P277" s="37" t="n">
        <f aca="false">O277*104/100</f>
        <v>0</v>
      </c>
      <c r="Q277" s="37" t="n">
        <f aca="false">P277*104/100</f>
        <v>0</v>
      </c>
      <c r="R277" s="37" t="n">
        <f aca="false">Q277*104/100</f>
        <v>0</v>
      </c>
      <c r="T277" s="49"/>
      <c r="U277" s="49"/>
      <c r="V277" s="49"/>
      <c r="W277" s="44"/>
    </row>
    <row r="278" s="42" customFormat="true" ht="30.55" hidden="false" customHeight="true" outlineLevel="0" collapsed="false">
      <c r="A278" s="64"/>
      <c r="B278" s="54"/>
      <c r="C278" s="31" t="s">
        <v>32</v>
      </c>
      <c r="D278" s="36"/>
      <c r="E278" s="36"/>
      <c r="F278" s="37" t="n">
        <f aca="false">SUM(G278:R278)</f>
        <v>51063.50268</v>
      </c>
      <c r="G278" s="37" t="n">
        <v>9200</v>
      </c>
      <c r="H278" s="37" t="n">
        <v>4650</v>
      </c>
      <c r="I278" s="37" t="n">
        <f aca="false">10950+2850</f>
        <v>13800</v>
      </c>
      <c r="J278" s="37" t="n">
        <v>14039.4</v>
      </c>
      <c r="K278" s="37" t="n">
        <v>4500.08948</v>
      </c>
      <c r="L278" s="37" t="n">
        <v>2800</v>
      </c>
      <c r="M278" s="37" t="n">
        <v>1908.1212</v>
      </c>
      <c r="N278" s="37" t="n">
        <v>0</v>
      </c>
      <c r="O278" s="37" t="n">
        <v>165.892</v>
      </c>
      <c r="P278" s="37" t="n">
        <v>0</v>
      </c>
      <c r="Q278" s="37" t="n">
        <f aca="false">P278*1.04</f>
        <v>0</v>
      </c>
      <c r="R278" s="37" t="n">
        <f aca="false">Q278*1.04</f>
        <v>0</v>
      </c>
      <c r="T278" s="49"/>
      <c r="U278" s="49"/>
      <c r="V278" s="49"/>
      <c r="W278" s="44"/>
    </row>
    <row r="279" s="42" customFormat="true" ht="27.6" hidden="false" customHeight="true" outlineLevel="0" collapsed="false">
      <c r="A279" s="64"/>
      <c r="B279" s="54"/>
      <c r="C279" s="31" t="s">
        <v>33</v>
      </c>
      <c r="D279" s="36"/>
      <c r="E279" s="36"/>
      <c r="F279" s="37" t="n">
        <v>0</v>
      </c>
      <c r="G279" s="37" t="n">
        <v>0</v>
      </c>
      <c r="H279" s="37" t="n">
        <v>0</v>
      </c>
      <c r="I279" s="37" t="n">
        <v>0</v>
      </c>
      <c r="J279" s="37" t="n">
        <v>0</v>
      </c>
      <c r="K279" s="37" t="n">
        <v>0</v>
      </c>
      <c r="L279" s="37" t="n">
        <v>0</v>
      </c>
      <c r="M279" s="37" t="n">
        <f aca="false">L279*104/100</f>
        <v>0</v>
      </c>
      <c r="N279" s="37" t="n">
        <v>0</v>
      </c>
      <c r="O279" s="33" t="n">
        <v>0</v>
      </c>
      <c r="P279" s="33" t="n">
        <v>0</v>
      </c>
      <c r="Q279" s="33" t="n">
        <v>0</v>
      </c>
      <c r="R279" s="37" t="n">
        <v>0</v>
      </c>
      <c r="T279" s="49"/>
      <c r="U279" s="49"/>
      <c r="V279" s="49"/>
      <c r="W279" s="44"/>
    </row>
    <row r="280" s="42" customFormat="true" ht="38.8" hidden="false" customHeight="true" outlineLevel="0" collapsed="false">
      <c r="A280" s="64"/>
      <c r="B280" s="54"/>
      <c r="C280" s="31" t="s">
        <v>34</v>
      </c>
      <c r="D280" s="36"/>
      <c r="E280" s="36"/>
      <c r="F280" s="37" t="n">
        <v>0</v>
      </c>
      <c r="G280" s="37" t="n">
        <v>0</v>
      </c>
      <c r="H280" s="37" t="n">
        <v>0</v>
      </c>
      <c r="I280" s="37" t="n">
        <v>0</v>
      </c>
      <c r="J280" s="37" t="n">
        <v>0</v>
      </c>
      <c r="K280" s="37" t="n">
        <v>0</v>
      </c>
      <c r="L280" s="37" t="n">
        <v>0</v>
      </c>
      <c r="M280" s="37" t="n">
        <f aca="false">L280*104/100</f>
        <v>0</v>
      </c>
      <c r="N280" s="37" t="n">
        <v>0</v>
      </c>
      <c r="O280" s="33" t="n">
        <v>0</v>
      </c>
      <c r="P280" s="33" t="n">
        <v>0</v>
      </c>
      <c r="Q280" s="33" t="n">
        <v>0</v>
      </c>
      <c r="R280" s="37" t="n">
        <v>0</v>
      </c>
      <c r="T280" s="49"/>
      <c r="U280" s="49"/>
      <c r="V280" s="49"/>
      <c r="W280" s="44"/>
    </row>
    <row r="281" s="42" customFormat="true" ht="27.6" hidden="false" customHeight="true" outlineLevel="0" collapsed="false">
      <c r="A281" s="64"/>
      <c r="B281" s="54"/>
      <c r="C281" s="31" t="s">
        <v>35</v>
      </c>
      <c r="D281" s="36"/>
      <c r="E281" s="36"/>
      <c r="F281" s="37" t="n">
        <v>0</v>
      </c>
      <c r="G281" s="37" t="n">
        <v>0</v>
      </c>
      <c r="H281" s="37" t="n">
        <v>0</v>
      </c>
      <c r="I281" s="37" t="n">
        <v>0</v>
      </c>
      <c r="J281" s="37" t="n">
        <v>0</v>
      </c>
      <c r="K281" s="37" t="n">
        <v>0</v>
      </c>
      <c r="L281" s="37" t="n">
        <v>0</v>
      </c>
      <c r="M281" s="37" t="n">
        <f aca="false">L281*104/100</f>
        <v>0</v>
      </c>
      <c r="N281" s="37" t="n">
        <v>0</v>
      </c>
      <c r="O281" s="33" t="n">
        <v>0</v>
      </c>
      <c r="P281" s="33" t="n">
        <v>0</v>
      </c>
      <c r="Q281" s="33" t="n">
        <v>0</v>
      </c>
      <c r="R281" s="37" t="n">
        <v>0</v>
      </c>
      <c r="T281" s="49"/>
      <c r="U281" s="49"/>
      <c r="V281" s="49"/>
      <c r="W281" s="44"/>
    </row>
    <row r="282" s="42" customFormat="true" ht="75.35" hidden="false" customHeight="true" outlineLevel="0" collapsed="false">
      <c r="A282" s="64"/>
      <c r="B282" s="54"/>
      <c r="C282" s="31" t="s">
        <v>36</v>
      </c>
      <c r="D282" s="36"/>
      <c r="E282" s="36"/>
      <c r="F282" s="37" t="n">
        <v>0</v>
      </c>
      <c r="G282" s="37" t="n">
        <v>0</v>
      </c>
      <c r="H282" s="37" t="n">
        <v>0</v>
      </c>
      <c r="I282" s="37" t="n">
        <v>0</v>
      </c>
      <c r="J282" s="37" t="n">
        <v>0</v>
      </c>
      <c r="K282" s="37" t="n">
        <v>0</v>
      </c>
      <c r="L282" s="37" t="n">
        <v>0</v>
      </c>
      <c r="M282" s="37" t="n">
        <f aca="false">L282*104/100</f>
        <v>0</v>
      </c>
      <c r="N282" s="37" t="n">
        <v>0</v>
      </c>
      <c r="O282" s="33" t="n">
        <v>0</v>
      </c>
      <c r="P282" s="33" t="n">
        <v>0</v>
      </c>
      <c r="Q282" s="33" t="n">
        <v>0</v>
      </c>
      <c r="R282" s="37" t="n">
        <v>0</v>
      </c>
      <c r="T282" s="49"/>
      <c r="U282" s="49"/>
      <c r="V282" s="49"/>
      <c r="W282" s="44"/>
    </row>
    <row r="283" s="42" customFormat="true" ht="18.65" hidden="false" customHeight="true" outlineLevel="0" collapsed="false">
      <c r="A283" s="64" t="s">
        <v>122</v>
      </c>
      <c r="B283" s="54" t="s">
        <v>123</v>
      </c>
      <c r="C283" s="31" t="s">
        <v>30</v>
      </c>
      <c r="D283" s="36"/>
      <c r="E283" s="36"/>
      <c r="F283" s="37" t="n">
        <f aca="false">SUM(G283:R283)</f>
        <v>34029.45027</v>
      </c>
      <c r="G283" s="37" t="n">
        <f aca="false">SUM(G284:G292)</f>
        <v>852</v>
      </c>
      <c r="H283" s="37" t="n">
        <f aca="false">SUM(H284:H292)</f>
        <v>1912</v>
      </c>
      <c r="I283" s="37" t="n">
        <f aca="false">SUM(I284:I292)</f>
        <v>4979</v>
      </c>
      <c r="J283" s="37" t="n">
        <f aca="false">SUM(J284:J292)</f>
        <v>5292.68</v>
      </c>
      <c r="K283" s="37" t="n">
        <f aca="false">SUM(K284:K292)</f>
        <v>20701.06157</v>
      </c>
      <c r="L283" s="37" t="n">
        <f aca="false">SUM(L284:L292)</f>
        <v>292.7087</v>
      </c>
      <c r="M283" s="37" t="n">
        <f aca="false">SUM(M284:M292)</f>
        <v>0</v>
      </c>
      <c r="N283" s="37" t="n">
        <f aca="false">SUM(N284:N292)</f>
        <v>0</v>
      </c>
      <c r="O283" s="37" t="n">
        <f aca="false">SUM(O284:O292)</f>
        <v>0</v>
      </c>
      <c r="P283" s="37" t="n">
        <f aca="false">SUM(P284:P292)</f>
        <v>0</v>
      </c>
      <c r="Q283" s="37" t="n">
        <f aca="false">SUM(Q284:Q292)</f>
        <v>0</v>
      </c>
      <c r="R283" s="37" t="n">
        <f aca="false">SUM(R284:R292)</f>
        <v>0</v>
      </c>
      <c r="T283" s="49"/>
      <c r="U283" s="49"/>
      <c r="V283" s="49"/>
      <c r="W283" s="44"/>
    </row>
    <row r="284" s="42" customFormat="true" ht="38.8" hidden="false" customHeight="true" outlineLevel="0" collapsed="false">
      <c r="A284" s="64"/>
      <c r="B284" s="54"/>
      <c r="C284" s="31" t="s">
        <v>31</v>
      </c>
      <c r="D284" s="36"/>
      <c r="E284" s="36"/>
      <c r="F284" s="37" t="n">
        <v>0</v>
      </c>
      <c r="G284" s="37" t="n">
        <v>0</v>
      </c>
      <c r="H284" s="37" t="n">
        <v>0</v>
      </c>
      <c r="I284" s="37" t="n">
        <v>0</v>
      </c>
      <c r="J284" s="37" t="n">
        <v>0</v>
      </c>
      <c r="K284" s="37" t="n">
        <v>0</v>
      </c>
      <c r="L284" s="37" t="n">
        <v>0</v>
      </c>
      <c r="M284" s="37" t="n">
        <f aca="false">L284*104/100</f>
        <v>0</v>
      </c>
      <c r="N284" s="37" t="n">
        <v>0</v>
      </c>
      <c r="O284" s="33" t="n">
        <v>0</v>
      </c>
      <c r="P284" s="33" t="n">
        <v>0</v>
      </c>
      <c r="Q284" s="33" t="n">
        <v>0</v>
      </c>
      <c r="R284" s="37" t="n">
        <v>0</v>
      </c>
      <c r="T284" s="49"/>
      <c r="U284" s="49"/>
      <c r="V284" s="49"/>
      <c r="W284" s="44" t="n">
        <f aca="false">N283-W283</f>
        <v>0</v>
      </c>
    </row>
    <row r="285" s="42" customFormat="true" ht="27.6" hidden="false" customHeight="true" outlineLevel="0" collapsed="false">
      <c r="A285" s="64"/>
      <c r="B285" s="54"/>
      <c r="C285" s="31" t="s">
        <v>32</v>
      </c>
      <c r="D285" s="36" t="s">
        <v>42</v>
      </c>
      <c r="E285" s="36" t="s">
        <v>115</v>
      </c>
      <c r="F285" s="37" t="n">
        <f aca="false">SUM(G285:R285)</f>
        <v>33116.85027</v>
      </c>
      <c r="G285" s="37" t="n">
        <f aca="false">142+330+180</f>
        <v>652</v>
      </c>
      <c r="H285" s="37" t="n">
        <f aca="false">1912-H290</f>
        <v>1712</v>
      </c>
      <c r="I285" s="37" t="n">
        <f aca="false">4979-I290</f>
        <v>4779</v>
      </c>
      <c r="J285" s="37" t="n">
        <v>5080.08</v>
      </c>
      <c r="K285" s="37" t="n">
        <v>20701.06157</v>
      </c>
      <c r="L285" s="37" t="n">
        <v>192.7087</v>
      </c>
      <c r="M285" s="37" t="n">
        <v>0</v>
      </c>
      <c r="N285" s="37" t="n">
        <v>0</v>
      </c>
      <c r="O285" s="37" t="n">
        <v>0</v>
      </c>
      <c r="P285" s="37" t="n">
        <f aca="false">O285*1.04</f>
        <v>0</v>
      </c>
      <c r="Q285" s="37" t="n">
        <f aca="false">P285*1.04</f>
        <v>0</v>
      </c>
      <c r="R285" s="37" t="n">
        <f aca="false">Q285*1.04</f>
        <v>0</v>
      </c>
      <c r="T285" s="49"/>
      <c r="U285" s="49"/>
      <c r="V285" s="49"/>
      <c r="W285" s="44"/>
    </row>
    <row r="286" s="42" customFormat="true" ht="26.1" hidden="false" customHeight="true" outlineLevel="0" collapsed="false">
      <c r="A286" s="64"/>
      <c r="B286" s="54"/>
      <c r="C286" s="31" t="s">
        <v>33</v>
      </c>
      <c r="D286" s="36"/>
      <c r="E286" s="36"/>
      <c r="F286" s="37" t="n">
        <f aca="false">SUM(G286:R286)</f>
        <v>0</v>
      </c>
      <c r="G286" s="37" t="n">
        <v>0</v>
      </c>
      <c r="H286" s="37" t="n">
        <v>0</v>
      </c>
      <c r="I286" s="37" t="n">
        <v>0</v>
      </c>
      <c r="J286" s="37" t="n">
        <v>0</v>
      </c>
      <c r="K286" s="37" t="n">
        <v>0</v>
      </c>
      <c r="L286" s="37" t="n">
        <v>0</v>
      </c>
      <c r="M286" s="37" t="n">
        <f aca="false">L286*104/100</f>
        <v>0</v>
      </c>
      <c r="N286" s="37" t="n">
        <v>0</v>
      </c>
      <c r="O286" s="33" t="n">
        <v>0</v>
      </c>
      <c r="P286" s="33" t="n">
        <v>0</v>
      </c>
      <c r="Q286" s="33" t="n">
        <v>0</v>
      </c>
      <c r="R286" s="37" t="n">
        <v>0</v>
      </c>
      <c r="T286" s="49"/>
      <c r="U286" s="49"/>
      <c r="V286" s="49"/>
      <c r="W286" s="44"/>
    </row>
    <row r="287" s="42" customFormat="true" ht="29.1" hidden="false" customHeight="true" outlineLevel="0" collapsed="false">
      <c r="A287" s="64"/>
      <c r="B287" s="54"/>
      <c r="C287" s="31" t="s">
        <v>32</v>
      </c>
      <c r="D287" s="36" t="s">
        <v>117</v>
      </c>
      <c r="E287" s="36" t="s">
        <v>115</v>
      </c>
      <c r="F287" s="37" t="n">
        <f aca="false">SUM(G287:R287)</f>
        <v>100</v>
      </c>
      <c r="G287" s="37" t="n">
        <v>0</v>
      </c>
      <c r="H287" s="37" t="n">
        <v>0</v>
      </c>
      <c r="I287" s="37" t="n">
        <v>0</v>
      </c>
      <c r="J287" s="37" t="n">
        <v>0</v>
      </c>
      <c r="K287" s="37" t="n">
        <v>0</v>
      </c>
      <c r="L287" s="37" t="n">
        <v>100</v>
      </c>
      <c r="M287" s="37" t="n">
        <v>0</v>
      </c>
      <c r="N287" s="37" t="n">
        <v>0</v>
      </c>
      <c r="O287" s="33" t="n">
        <v>0</v>
      </c>
      <c r="P287" s="33" t="n">
        <v>0</v>
      </c>
      <c r="Q287" s="33" t="n">
        <v>0</v>
      </c>
      <c r="R287" s="37" t="n">
        <v>0</v>
      </c>
      <c r="T287" s="49"/>
      <c r="U287" s="49"/>
      <c r="V287" s="49"/>
      <c r="W287" s="44"/>
    </row>
    <row r="288" s="42" customFormat="true" ht="29.1" hidden="false" customHeight="true" outlineLevel="0" collapsed="false">
      <c r="A288" s="64"/>
      <c r="B288" s="54"/>
      <c r="C288" s="31" t="s">
        <v>33</v>
      </c>
      <c r="D288" s="36"/>
      <c r="E288" s="36"/>
      <c r="F288" s="37" t="n">
        <f aca="false">SUM(G288:R288)</f>
        <v>0</v>
      </c>
      <c r="G288" s="37" t="n">
        <v>0</v>
      </c>
      <c r="H288" s="37" t="n">
        <v>0</v>
      </c>
      <c r="I288" s="37" t="n">
        <v>0</v>
      </c>
      <c r="J288" s="37" t="n">
        <v>0</v>
      </c>
      <c r="K288" s="37" t="n">
        <v>0</v>
      </c>
      <c r="L288" s="37" t="n">
        <v>0</v>
      </c>
      <c r="M288" s="37" t="n">
        <f aca="false">L288*104/100</f>
        <v>0</v>
      </c>
      <c r="N288" s="37" t="n">
        <v>0</v>
      </c>
      <c r="O288" s="33" t="n">
        <v>0</v>
      </c>
      <c r="P288" s="33" t="n">
        <v>0</v>
      </c>
      <c r="Q288" s="33" t="n">
        <v>0</v>
      </c>
      <c r="R288" s="37" t="n">
        <v>0</v>
      </c>
      <c r="T288" s="49"/>
      <c r="U288" s="49"/>
      <c r="V288" s="49"/>
      <c r="W288" s="44"/>
    </row>
    <row r="289" s="42" customFormat="true" ht="41.75" hidden="false" customHeight="true" outlineLevel="0" collapsed="false">
      <c r="A289" s="64"/>
      <c r="B289" s="54"/>
      <c r="C289" s="31" t="s">
        <v>31</v>
      </c>
      <c r="D289" s="36"/>
      <c r="E289" s="36"/>
      <c r="F289" s="37" t="n">
        <f aca="false">SUM(G289:R289)</f>
        <v>0</v>
      </c>
      <c r="G289" s="37" t="n">
        <v>0</v>
      </c>
      <c r="H289" s="37" t="n">
        <v>0</v>
      </c>
      <c r="I289" s="37" t="n">
        <v>0</v>
      </c>
      <c r="J289" s="37" t="n">
        <v>0</v>
      </c>
      <c r="K289" s="37" t="n">
        <v>0</v>
      </c>
      <c r="L289" s="37" t="n">
        <v>0</v>
      </c>
      <c r="M289" s="37" t="n">
        <f aca="false">L289*104/100</f>
        <v>0</v>
      </c>
      <c r="N289" s="37" t="n">
        <v>0</v>
      </c>
      <c r="O289" s="33" t="n">
        <v>0</v>
      </c>
      <c r="P289" s="33" t="n">
        <v>0</v>
      </c>
      <c r="Q289" s="33" t="n">
        <v>0</v>
      </c>
      <c r="R289" s="37" t="n">
        <v>0</v>
      </c>
      <c r="T289" s="49"/>
      <c r="U289" s="49"/>
      <c r="V289" s="49"/>
      <c r="W289" s="44"/>
    </row>
    <row r="290" s="42" customFormat="true" ht="27.6" hidden="false" customHeight="true" outlineLevel="0" collapsed="false">
      <c r="A290" s="64"/>
      <c r="B290" s="54"/>
      <c r="C290" s="31" t="s">
        <v>32</v>
      </c>
      <c r="D290" s="36" t="s">
        <v>124</v>
      </c>
      <c r="E290" s="36" t="s">
        <v>115</v>
      </c>
      <c r="F290" s="37" t="n">
        <f aca="false">SUM(G290:N290)</f>
        <v>812.6</v>
      </c>
      <c r="G290" s="37" t="n">
        <v>200</v>
      </c>
      <c r="H290" s="37" t="n">
        <v>200</v>
      </c>
      <c r="I290" s="37" t="n">
        <v>200</v>
      </c>
      <c r="J290" s="37" t="n">
        <v>212.6</v>
      </c>
      <c r="K290" s="37" t="n">
        <v>0</v>
      </c>
      <c r="L290" s="37" t="n">
        <v>0</v>
      </c>
      <c r="M290" s="37" t="n">
        <v>0</v>
      </c>
      <c r="N290" s="37" t="n">
        <v>0</v>
      </c>
      <c r="O290" s="37" t="n">
        <v>0</v>
      </c>
      <c r="P290" s="37" t="n">
        <v>0</v>
      </c>
      <c r="Q290" s="37" t="n">
        <v>0</v>
      </c>
      <c r="R290" s="37" t="n">
        <v>0</v>
      </c>
      <c r="T290" s="49"/>
      <c r="U290" s="49"/>
      <c r="V290" s="49"/>
      <c r="W290" s="44"/>
    </row>
    <row r="291" s="42" customFormat="true" ht="28.35" hidden="false" customHeight="true" outlineLevel="0" collapsed="false">
      <c r="A291" s="64"/>
      <c r="B291" s="54"/>
      <c r="C291" s="31" t="s">
        <v>33</v>
      </c>
      <c r="D291" s="36"/>
      <c r="E291" s="36"/>
      <c r="F291" s="37" t="n">
        <v>0</v>
      </c>
      <c r="G291" s="37" t="n">
        <v>0</v>
      </c>
      <c r="H291" s="37" t="n">
        <v>0</v>
      </c>
      <c r="I291" s="37" t="n">
        <v>0</v>
      </c>
      <c r="J291" s="37" t="n">
        <v>0</v>
      </c>
      <c r="K291" s="37" t="n">
        <v>0</v>
      </c>
      <c r="L291" s="37" t="n">
        <v>0</v>
      </c>
      <c r="M291" s="37" t="n">
        <f aca="false">L291*104/100</f>
        <v>0</v>
      </c>
      <c r="N291" s="37" t="n">
        <v>0</v>
      </c>
      <c r="O291" s="33" t="n">
        <v>0</v>
      </c>
      <c r="P291" s="33" t="n">
        <v>0</v>
      </c>
      <c r="Q291" s="33" t="n">
        <v>0</v>
      </c>
      <c r="R291" s="37" t="n">
        <v>0</v>
      </c>
      <c r="T291" s="49"/>
      <c r="U291" s="49"/>
      <c r="V291" s="49"/>
      <c r="W291" s="44"/>
    </row>
    <row r="292" s="42" customFormat="true" ht="39.55" hidden="false" customHeight="true" outlineLevel="0" collapsed="false">
      <c r="A292" s="64"/>
      <c r="B292" s="54"/>
      <c r="C292" s="31" t="s">
        <v>34</v>
      </c>
      <c r="D292" s="36"/>
      <c r="E292" s="36"/>
      <c r="F292" s="37" t="n">
        <v>0</v>
      </c>
      <c r="G292" s="37" t="n">
        <v>0</v>
      </c>
      <c r="H292" s="37" t="n">
        <v>0</v>
      </c>
      <c r="I292" s="37" t="n">
        <v>0</v>
      </c>
      <c r="J292" s="37" t="n">
        <v>0</v>
      </c>
      <c r="K292" s="37" t="n">
        <v>0</v>
      </c>
      <c r="L292" s="37" t="n">
        <v>0</v>
      </c>
      <c r="M292" s="37" t="n">
        <f aca="false">L292*104/100</f>
        <v>0</v>
      </c>
      <c r="N292" s="37" t="n">
        <v>0</v>
      </c>
      <c r="O292" s="33" t="n">
        <v>0</v>
      </c>
      <c r="P292" s="33" t="n">
        <v>0</v>
      </c>
      <c r="Q292" s="33" t="n">
        <v>0</v>
      </c>
      <c r="R292" s="37" t="n">
        <v>0</v>
      </c>
      <c r="T292" s="49"/>
      <c r="U292" s="49"/>
      <c r="V292" s="49"/>
      <c r="W292" s="44"/>
    </row>
    <row r="293" s="42" customFormat="true" ht="19.4" hidden="false" customHeight="true" outlineLevel="0" collapsed="false">
      <c r="A293" s="64" t="s">
        <v>125</v>
      </c>
      <c r="B293" s="54" t="s">
        <v>126</v>
      </c>
      <c r="C293" s="31" t="s">
        <v>30</v>
      </c>
      <c r="D293" s="36"/>
      <c r="E293" s="36"/>
      <c r="F293" s="37" t="n">
        <f aca="false">SUM(G293:R293)</f>
        <v>193680.98407</v>
      </c>
      <c r="G293" s="37" t="n">
        <f aca="false">SUM(G294:G301)</f>
        <v>750</v>
      </c>
      <c r="H293" s="37" t="n">
        <f aca="false">SUM(H294:H301)</f>
        <v>750</v>
      </c>
      <c r="I293" s="37" t="n">
        <f aca="false">SUM(I294:I301)</f>
        <v>750</v>
      </c>
      <c r="J293" s="37" t="n">
        <f aca="false">SUM(J294:J301)</f>
        <v>797.25</v>
      </c>
      <c r="K293" s="37" t="n">
        <f aca="false">SUM(K294:K301)</f>
        <v>1708.73407</v>
      </c>
      <c r="L293" s="37" t="n">
        <f aca="false">SUM(L294:L301)</f>
        <v>0</v>
      </c>
      <c r="M293" s="37" t="n">
        <f aca="false">SUM(M294:M301)</f>
        <v>500</v>
      </c>
      <c r="N293" s="37" t="n">
        <f aca="false">SUM(N294:N301)</f>
        <v>15961.7</v>
      </c>
      <c r="O293" s="37" t="n">
        <f aca="false">SUM(O294:O301)</f>
        <v>45328.9</v>
      </c>
      <c r="P293" s="37" t="n">
        <f aca="false">SUM(P294:P301)</f>
        <v>42001.4</v>
      </c>
      <c r="Q293" s="37" t="n">
        <f aca="false">SUM(Q294:Q301)</f>
        <v>42566.5</v>
      </c>
      <c r="R293" s="37" t="n">
        <f aca="false">SUM(R294:R301)</f>
        <v>42566.5</v>
      </c>
      <c r="T293" s="49"/>
      <c r="U293" s="49"/>
      <c r="V293" s="49"/>
      <c r="W293" s="44"/>
    </row>
    <row r="294" s="42" customFormat="true" ht="38.8" hidden="false" customHeight="true" outlineLevel="0" collapsed="false">
      <c r="A294" s="64"/>
      <c r="B294" s="54"/>
      <c r="C294" s="31" t="s">
        <v>31</v>
      </c>
      <c r="D294" s="36" t="s">
        <v>42</v>
      </c>
      <c r="E294" s="36" t="s">
        <v>115</v>
      </c>
      <c r="F294" s="37" t="n">
        <f aca="false">SUM(G294:R294)</f>
        <v>158835.276</v>
      </c>
      <c r="G294" s="37" t="n">
        <v>0</v>
      </c>
      <c r="H294" s="37" t="n">
        <v>0</v>
      </c>
      <c r="I294" s="37" t="n">
        <v>0</v>
      </c>
      <c r="J294" s="37" t="n">
        <v>0</v>
      </c>
      <c r="K294" s="37" t="n">
        <v>0</v>
      </c>
      <c r="L294" s="37" t="n">
        <v>0</v>
      </c>
      <c r="M294" s="37" t="n">
        <f aca="false">L294*104/100</f>
        <v>0</v>
      </c>
      <c r="N294" s="37" t="n">
        <v>13574.34</v>
      </c>
      <c r="O294" s="33" t="n">
        <v>38566.384</v>
      </c>
      <c r="P294" s="33" t="n">
        <v>35239.984</v>
      </c>
      <c r="Q294" s="33" t="n">
        <v>35727.284</v>
      </c>
      <c r="R294" s="37" t="n">
        <v>35727.284</v>
      </c>
      <c r="T294" s="49" t="n">
        <f aca="false">42001.4-P293</f>
        <v>7.27595761418343E-012</v>
      </c>
      <c r="U294" s="49" t="n">
        <f aca="false">42566.5-Q293</f>
        <v>0</v>
      </c>
      <c r="V294" s="49" t="n">
        <f aca="false">42566.5-R293</f>
        <v>0</v>
      </c>
      <c r="W294" s="44"/>
    </row>
    <row r="295" s="42" customFormat="true" ht="36" hidden="false" customHeight="true" outlineLevel="0" collapsed="false">
      <c r="A295" s="64"/>
      <c r="B295" s="54"/>
      <c r="C295" s="31" t="s">
        <v>31</v>
      </c>
      <c r="D295" s="36" t="s">
        <v>48</v>
      </c>
      <c r="E295" s="36" t="s">
        <v>115</v>
      </c>
      <c r="F295" s="37" t="n">
        <f aca="false">SUM(G295:R295)</f>
        <v>23348.544</v>
      </c>
      <c r="G295" s="37" t="n">
        <v>0</v>
      </c>
      <c r="H295" s="37" t="n">
        <v>0</v>
      </c>
      <c r="I295" s="37" t="n">
        <v>0</v>
      </c>
      <c r="J295" s="37" t="n">
        <v>0</v>
      </c>
      <c r="K295" s="37" t="n">
        <v>0</v>
      </c>
      <c r="L295" s="37" t="n">
        <v>0</v>
      </c>
      <c r="M295" s="37" t="n">
        <v>0</v>
      </c>
      <c r="N295" s="37" t="n">
        <v>1749.888</v>
      </c>
      <c r="O295" s="33" t="n">
        <v>5399.664</v>
      </c>
      <c r="P295" s="33" t="n">
        <v>5399.664</v>
      </c>
      <c r="Q295" s="33" t="n">
        <v>5399.664</v>
      </c>
      <c r="R295" s="37" t="n">
        <v>5399.664</v>
      </c>
      <c r="T295" s="49"/>
      <c r="U295" s="49"/>
      <c r="V295" s="49"/>
      <c r="W295" s="44"/>
    </row>
    <row r="296" s="42" customFormat="true" ht="34.5" hidden="false" customHeight="true" outlineLevel="0" collapsed="false">
      <c r="A296" s="64"/>
      <c r="B296" s="54"/>
      <c r="C296" s="31" t="s">
        <v>31</v>
      </c>
      <c r="D296" s="36" t="s">
        <v>116</v>
      </c>
      <c r="E296" s="36" t="s">
        <v>115</v>
      </c>
      <c r="F296" s="37" t="n">
        <f aca="false">SUM(G296:R296)</f>
        <v>6041.18</v>
      </c>
      <c r="G296" s="37" t="n">
        <v>0</v>
      </c>
      <c r="H296" s="37" t="n">
        <v>0</v>
      </c>
      <c r="I296" s="37" t="n">
        <v>0</v>
      </c>
      <c r="J296" s="37" t="n">
        <v>0</v>
      </c>
      <c r="K296" s="37" t="n">
        <v>0</v>
      </c>
      <c r="L296" s="37" t="n">
        <v>0</v>
      </c>
      <c r="M296" s="37" t="n">
        <v>0</v>
      </c>
      <c r="N296" s="37" t="n">
        <v>437.472</v>
      </c>
      <c r="O296" s="33" t="n">
        <v>1362.852</v>
      </c>
      <c r="P296" s="33" t="n">
        <v>1361.752</v>
      </c>
      <c r="Q296" s="33" t="n">
        <v>1439.552</v>
      </c>
      <c r="R296" s="37" t="n">
        <v>1439.552</v>
      </c>
      <c r="T296" s="49"/>
      <c r="U296" s="49"/>
      <c r="V296" s="49"/>
      <c r="W296" s="44"/>
    </row>
    <row r="297" s="42" customFormat="true" ht="27.6" hidden="false" customHeight="true" outlineLevel="0" collapsed="false">
      <c r="A297" s="64"/>
      <c r="B297" s="54"/>
      <c r="C297" s="31" t="s">
        <v>32</v>
      </c>
      <c r="D297" s="36" t="s">
        <v>42</v>
      </c>
      <c r="E297" s="36" t="s">
        <v>115</v>
      </c>
      <c r="F297" s="37" t="n">
        <f aca="false">SUM(G297:R297)</f>
        <v>5455.98407</v>
      </c>
      <c r="G297" s="37" t="n">
        <f aca="false">250+500</f>
        <v>750</v>
      </c>
      <c r="H297" s="37" t="n">
        <v>750</v>
      </c>
      <c r="I297" s="37" t="n">
        <v>750</v>
      </c>
      <c r="J297" s="37" t="n">
        <v>797.25</v>
      </c>
      <c r="K297" s="37" t="n">
        <v>1708.73407</v>
      </c>
      <c r="L297" s="37" t="n">
        <v>0</v>
      </c>
      <c r="M297" s="37" t="n">
        <v>500</v>
      </c>
      <c r="N297" s="37" t="n">
        <v>200</v>
      </c>
      <c r="O297" s="37" t="n">
        <v>0</v>
      </c>
      <c r="P297" s="37" t="n">
        <f aca="false">O297*1.04</f>
        <v>0</v>
      </c>
      <c r="Q297" s="37" t="n">
        <f aca="false">P297*1.04</f>
        <v>0</v>
      </c>
      <c r="R297" s="37" t="n">
        <f aca="false">Q297*1.04</f>
        <v>0</v>
      </c>
      <c r="T297" s="49"/>
      <c r="U297" s="49"/>
      <c r="V297" s="49"/>
      <c r="W297" s="44"/>
    </row>
    <row r="298" s="42" customFormat="true" ht="22.5" hidden="false" customHeight="false" outlineLevel="0" collapsed="false">
      <c r="A298" s="64"/>
      <c r="B298" s="54"/>
      <c r="C298" s="31" t="s">
        <v>33</v>
      </c>
      <c r="D298" s="36"/>
      <c r="E298" s="36"/>
      <c r="F298" s="37" t="n">
        <f aca="false">SUM(G298:R298)</f>
        <v>0</v>
      </c>
      <c r="G298" s="37" t="n">
        <v>0</v>
      </c>
      <c r="H298" s="37" t="n">
        <v>0</v>
      </c>
      <c r="I298" s="37" t="n">
        <v>0</v>
      </c>
      <c r="J298" s="37" t="n">
        <v>0</v>
      </c>
      <c r="K298" s="37" t="n">
        <v>0</v>
      </c>
      <c r="L298" s="37" t="n">
        <v>0</v>
      </c>
      <c r="M298" s="37" t="n">
        <f aca="false">L298*104/100</f>
        <v>0</v>
      </c>
      <c r="N298" s="37" t="n">
        <v>0</v>
      </c>
      <c r="O298" s="33" t="n">
        <v>0</v>
      </c>
      <c r="P298" s="33" t="n">
        <v>0</v>
      </c>
      <c r="Q298" s="33" t="n">
        <v>0</v>
      </c>
      <c r="R298" s="37" t="n">
        <v>0</v>
      </c>
      <c r="T298" s="49"/>
      <c r="U298" s="49"/>
      <c r="V298" s="49"/>
      <c r="W298" s="44"/>
    </row>
    <row r="299" s="42" customFormat="true" ht="39.55" hidden="false" customHeight="true" outlineLevel="0" collapsed="false">
      <c r="A299" s="64"/>
      <c r="B299" s="54"/>
      <c r="C299" s="31" t="s">
        <v>34</v>
      </c>
      <c r="D299" s="36"/>
      <c r="E299" s="36"/>
      <c r="F299" s="37" t="n">
        <f aca="false">SUM(G299:R299)</f>
        <v>0</v>
      </c>
      <c r="G299" s="37" t="n">
        <v>0</v>
      </c>
      <c r="H299" s="37" t="n">
        <v>0</v>
      </c>
      <c r="I299" s="37" t="n">
        <v>0</v>
      </c>
      <c r="J299" s="37" t="n">
        <v>0</v>
      </c>
      <c r="K299" s="37" t="n">
        <v>0</v>
      </c>
      <c r="L299" s="37" t="n">
        <v>0</v>
      </c>
      <c r="M299" s="37" t="n">
        <f aca="false">L299*104/100</f>
        <v>0</v>
      </c>
      <c r="N299" s="37" t="n">
        <v>0</v>
      </c>
      <c r="O299" s="33" t="n">
        <v>0</v>
      </c>
      <c r="P299" s="33" t="n">
        <v>0</v>
      </c>
      <c r="Q299" s="33" t="n">
        <v>0</v>
      </c>
      <c r="R299" s="37" t="n">
        <v>0</v>
      </c>
      <c r="T299" s="49"/>
      <c r="U299" s="49"/>
      <c r="V299" s="49"/>
      <c r="W299" s="44"/>
    </row>
    <row r="300" s="42" customFormat="true" ht="26.85" hidden="false" customHeight="true" outlineLevel="0" collapsed="false">
      <c r="A300" s="64"/>
      <c r="B300" s="54"/>
      <c r="C300" s="31" t="s">
        <v>35</v>
      </c>
      <c r="D300" s="36"/>
      <c r="E300" s="36"/>
      <c r="F300" s="37" t="n">
        <f aca="false">SUM(G300:R300)</f>
        <v>0</v>
      </c>
      <c r="G300" s="37" t="n">
        <v>0</v>
      </c>
      <c r="H300" s="37" t="n">
        <v>0</v>
      </c>
      <c r="I300" s="37" t="n">
        <v>0</v>
      </c>
      <c r="J300" s="37" t="n">
        <v>0</v>
      </c>
      <c r="K300" s="37" t="n">
        <v>0</v>
      </c>
      <c r="L300" s="37" t="n">
        <v>0</v>
      </c>
      <c r="M300" s="37" t="n">
        <f aca="false">L300*104/100</f>
        <v>0</v>
      </c>
      <c r="N300" s="37" t="n">
        <v>0</v>
      </c>
      <c r="O300" s="33" t="n">
        <v>0</v>
      </c>
      <c r="P300" s="33" t="n">
        <v>0</v>
      </c>
      <c r="Q300" s="33" t="n">
        <v>0</v>
      </c>
      <c r="R300" s="37" t="n">
        <v>0</v>
      </c>
      <c r="T300" s="49"/>
      <c r="U300" s="49"/>
      <c r="V300" s="49"/>
      <c r="W300" s="44"/>
    </row>
    <row r="301" s="42" customFormat="true" ht="73.85" hidden="false" customHeight="true" outlineLevel="0" collapsed="false">
      <c r="A301" s="64"/>
      <c r="B301" s="54"/>
      <c r="C301" s="31" t="s">
        <v>36</v>
      </c>
      <c r="D301" s="36"/>
      <c r="E301" s="36"/>
      <c r="F301" s="37" t="n">
        <v>0</v>
      </c>
      <c r="G301" s="37" t="n">
        <v>0</v>
      </c>
      <c r="H301" s="37" t="n">
        <v>0</v>
      </c>
      <c r="I301" s="37" t="n">
        <v>0</v>
      </c>
      <c r="J301" s="37" t="n">
        <v>0</v>
      </c>
      <c r="K301" s="37" t="n">
        <v>0</v>
      </c>
      <c r="L301" s="37" t="n">
        <v>0</v>
      </c>
      <c r="M301" s="37" t="n">
        <f aca="false">L301*104/100</f>
        <v>0</v>
      </c>
      <c r="N301" s="37" t="n">
        <v>0</v>
      </c>
      <c r="O301" s="33" t="n">
        <v>0</v>
      </c>
      <c r="P301" s="33" t="n">
        <v>0</v>
      </c>
      <c r="Q301" s="33" t="n">
        <v>0</v>
      </c>
      <c r="R301" s="37" t="n">
        <v>0</v>
      </c>
      <c r="T301" s="49"/>
      <c r="U301" s="49"/>
      <c r="V301" s="49"/>
      <c r="W301" s="44"/>
    </row>
    <row r="302" s="42" customFormat="true" ht="22.35" hidden="false" customHeight="true" outlineLevel="0" collapsed="false">
      <c r="A302" s="64" t="s">
        <v>127</v>
      </c>
      <c r="B302" s="54" t="s">
        <v>128</v>
      </c>
      <c r="C302" s="31" t="s">
        <v>30</v>
      </c>
      <c r="D302" s="36" t="s">
        <v>42</v>
      </c>
      <c r="E302" s="36" t="s">
        <v>115</v>
      </c>
      <c r="F302" s="37" t="n">
        <f aca="false">SUM(G302:R302)</f>
        <v>1608469.78144</v>
      </c>
      <c r="G302" s="37" t="n">
        <f aca="false">SUM(G303:G308)</f>
        <v>99251.424</v>
      </c>
      <c r="H302" s="37" t="n">
        <f aca="false">SUM(H303:H308)</f>
        <v>103149.21231</v>
      </c>
      <c r="I302" s="37" t="n">
        <f aca="false">SUM(I303:I308)</f>
        <v>98575.81</v>
      </c>
      <c r="J302" s="37" t="n">
        <f aca="false">SUM(J303:J308)</f>
        <v>98295.041</v>
      </c>
      <c r="K302" s="37" t="n">
        <f aca="false">SUM(K303:K308)</f>
        <v>103903.78699</v>
      </c>
      <c r="L302" s="37" t="n">
        <f aca="false">SUM(L303:L308)</f>
        <v>109814.69946</v>
      </c>
      <c r="M302" s="37" t="n">
        <f aca="false">SUM(M303:M308)</f>
        <v>114200.81246</v>
      </c>
      <c r="N302" s="37" t="n">
        <f aca="false">SUM(N303:N308)</f>
        <v>140563.85926</v>
      </c>
      <c r="O302" s="37" t="n">
        <f aca="false">SUM(O303:O308)</f>
        <v>187486.14396</v>
      </c>
      <c r="P302" s="37" t="n">
        <f aca="false">SUM(P303:P308)</f>
        <v>187689.664</v>
      </c>
      <c r="Q302" s="37" t="n">
        <f aca="false">SUM(Q303:Q308)</f>
        <v>182769.664</v>
      </c>
      <c r="R302" s="37" t="n">
        <f aca="false">SUM(R303:R308)</f>
        <v>182769.664</v>
      </c>
      <c r="T302" s="49"/>
      <c r="U302" s="49"/>
      <c r="V302" s="49"/>
      <c r="W302" s="44"/>
    </row>
    <row r="303" s="42" customFormat="true" ht="36.55" hidden="false" customHeight="true" outlineLevel="0" collapsed="false">
      <c r="A303" s="64"/>
      <c r="B303" s="54"/>
      <c r="C303" s="31" t="s">
        <v>31</v>
      </c>
      <c r="D303" s="36"/>
      <c r="E303" s="36"/>
      <c r="F303" s="37" t="n">
        <f aca="false">SUM(G303:R303)</f>
        <v>0</v>
      </c>
      <c r="G303" s="37" t="n">
        <v>0</v>
      </c>
      <c r="H303" s="37" t="n">
        <v>0</v>
      </c>
      <c r="I303" s="37" t="n">
        <v>0</v>
      </c>
      <c r="J303" s="37" t="n">
        <v>0</v>
      </c>
      <c r="K303" s="37" t="n">
        <v>0</v>
      </c>
      <c r="L303" s="37" t="n">
        <v>0</v>
      </c>
      <c r="M303" s="37" t="n">
        <f aca="false">L303*104/100</f>
        <v>0</v>
      </c>
      <c r="N303" s="37" t="n">
        <v>0</v>
      </c>
      <c r="O303" s="33" t="n">
        <v>0</v>
      </c>
      <c r="P303" s="33" t="n">
        <v>0</v>
      </c>
      <c r="Q303" s="33" t="n">
        <v>0</v>
      </c>
      <c r="R303" s="37" t="n">
        <v>0</v>
      </c>
      <c r="T303" s="49"/>
      <c r="U303" s="49"/>
      <c r="V303" s="49"/>
      <c r="W303" s="44"/>
    </row>
    <row r="304" s="42" customFormat="true" ht="26.1" hidden="false" customHeight="true" outlineLevel="0" collapsed="false">
      <c r="A304" s="64"/>
      <c r="B304" s="54"/>
      <c r="C304" s="31" t="s">
        <v>32</v>
      </c>
      <c r="D304" s="36"/>
      <c r="E304" s="36"/>
      <c r="F304" s="37" t="n">
        <f aca="false">SUM(G304:R304)</f>
        <v>1608469.78144</v>
      </c>
      <c r="G304" s="37" t="n">
        <v>99251.424</v>
      </c>
      <c r="H304" s="37" t="n">
        <v>103149.21231</v>
      </c>
      <c r="I304" s="37" t="n">
        <f aca="false">98200.81+375</f>
        <v>98575.81</v>
      </c>
      <c r="J304" s="37" t="n">
        <v>98295.041</v>
      </c>
      <c r="K304" s="37" t="n">
        <v>103903.78699</v>
      </c>
      <c r="L304" s="37" t="n">
        <v>109814.69946</v>
      </c>
      <c r="M304" s="37" t="n">
        <v>114200.81246</v>
      </c>
      <c r="N304" s="37" t="n">
        <v>140563.85926</v>
      </c>
      <c r="O304" s="37" t="n">
        <v>187486.14396</v>
      </c>
      <c r="P304" s="37" t="n">
        <v>187689.664</v>
      </c>
      <c r="Q304" s="37" t="n">
        <v>182769.664</v>
      </c>
      <c r="R304" s="37" t="n">
        <v>182769.664</v>
      </c>
      <c r="T304" s="49"/>
      <c r="U304" s="49"/>
      <c r="V304" s="49"/>
      <c r="W304" s="44"/>
    </row>
    <row r="305" s="42" customFormat="true" ht="26.1" hidden="false" customHeight="true" outlineLevel="0" collapsed="false">
      <c r="A305" s="64"/>
      <c r="B305" s="54"/>
      <c r="C305" s="31" t="s">
        <v>33</v>
      </c>
      <c r="D305" s="36"/>
      <c r="E305" s="36"/>
      <c r="F305" s="37" t="n">
        <f aca="false">SUM(G305:R305)</f>
        <v>0</v>
      </c>
      <c r="G305" s="37" t="n">
        <v>0</v>
      </c>
      <c r="H305" s="37" t="n">
        <v>0</v>
      </c>
      <c r="I305" s="37" t="n">
        <v>0</v>
      </c>
      <c r="J305" s="37" t="n">
        <v>0</v>
      </c>
      <c r="K305" s="37" t="n">
        <v>0</v>
      </c>
      <c r="L305" s="37" t="n">
        <v>0</v>
      </c>
      <c r="M305" s="37" t="n">
        <f aca="false">L305*104/100</f>
        <v>0</v>
      </c>
      <c r="N305" s="37" t="n">
        <v>0</v>
      </c>
      <c r="O305" s="33" t="n">
        <v>0</v>
      </c>
      <c r="P305" s="33" t="n">
        <v>0</v>
      </c>
      <c r="Q305" s="33" t="n">
        <v>0</v>
      </c>
      <c r="R305" s="37" t="n">
        <v>0</v>
      </c>
      <c r="T305" s="49"/>
      <c r="U305" s="49"/>
      <c r="V305" s="49"/>
      <c r="W305" s="44"/>
    </row>
    <row r="306" s="42" customFormat="true" ht="39.55" hidden="false" customHeight="true" outlineLevel="0" collapsed="false">
      <c r="A306" s="64"/>
      <c r="B306" s="54"/>
      <c r="C306" s="31" t="s">
        <v>34</v>
      </c>
      <c r="D306" s="36"/>
      <c r="E306" s="36"/>
      <c r="F306" s="37" t="n">
        <f aca="false">SUM(G306:R306)</f>
        <v>0</v>
      </c>
      <c r="G306" s="37" t="n">
        <v>0</v>
      </c>
      <c r="H306" s="37" t="n">
        <v>0</v>
      </c>
      <c r="I306" s="37" t="n">
        <v>0</v>
      </c>
      <c r="J306" s="37" t="n">
        <v>0</v>
      </c>
      <c r="K306" s="37" t="n">
        <v>0</v>
      </c>
      <c r="L306" s="37" t="n">
        <v>0</v>
      </c>
      <c r="M306" s="37" t="n">
        <f aca="false">L306*104/100</f>
        <v>0</v>
      </c>
      <c r="N306" s="37" t="n">
        <v>0</v>
      </c>
      <c r="O306" s="33" t="n">
        <v>0</v>
      </c>
      <c r="P306" s="33" t="n">
        <v>0</v>
      </c>
      <c r="Q306" s="33" t="n">
        <v>0</v>
      </c>
      <c r="R306" s="37" t="n">
        <v>0</v>
      </c>
      <c r="T306" s="49"/>
      <c r="U306" s="49"/>
      <c r="V306" s="49"/>
      <c r="W306" s="44"/>
    </row>
    <row r="307" s="42" customFormat="true" ht="22.5" hidden="false" customHeight="false" outlineLevel="0" collapsed="false">
      <c r="A307" s="64"/>
      <c r="B307" s="54"/>
      <c r="C307" s="31" t="s">
        <v>35</v>
      </c>
      <c r="D307" s="36"/>
      <c r="E307" s="36"/>
      <c r="F307" s="37" t="n">
        <f aca="false">SUM(G307:R307)</f>
        <v>0</v>
      </c>
      <c r="G307" s="37" t="n">
        <v>0</v>
      </c>
      <c r="H307" s="37" t="n">
        <v>0</v>
      </c>
      <c r="I307" s="37" t="n">
        <v>0</v>
      </c>
      <c r="J307" s="37" t="n">
        <v>0</v>
      </c>
      <c r="K307" s="37" t="n">
        <v>0</v>
      </c>
      <c r="L307" s="37" t="n">
        <v>0</v>
      </c>
      <c r="M307" s="37" t="n">
        <f aca="false">L307*104/100</f>
        <v>0</v>
      </c>
      <c r="N307" s="37" t="n">
        <v>0</v>
      </c>
      <c r="O307" s="33" t="n">
        <v>0</v>
      </c>
      <c r="P307" s="33" t="n">
        <v>0</v>
      </c>
      <c r="Q307" s="33" t="n">
        <v>0</v>
      </c>
      <c r="R307" s="37" t="n">
        <v>0</v>
      </c>
      <c r="T307" s="49"/>
      <c r="U307" s="49"/>
      <c r="V307" s="49"/>
      <c r="W307" s="44"/>
    </row>
    <row r="308" s="42" customFormat="true" ht="70.85" hidden="false" customHeight="true" outlineLevel="0" collapsed="false">
      <c r="A308" s="64"/>
      <c r="B308" s="54"/>
      <c r="C308" s="31" t="s">
        <v>36</v>
      </c>
      <c r="D308" s="36"/>
      <c r="E308" s="36"/>
      <c r="F308" s="37" t="n">
        <f aca="false">SUM(G308:R308)</f>
        <v>0</v>
      </c>
      <c r="G308" s="37" t="n">
        <v>0</v>
      </c>
      <c r="H308" s="37" t="n">
        <v>0</v>
      </c>
      <c r="I308" s="37" t="n">
        <v>0</v>
      </c>
      <c r="J308" s="37" t="n">
        <v>0</v>
      </c>
      <c r="K308" s="37" t="n">
        <v>0</v>
      </c>
      <c r="L308" s="37" t="n">
        <v>0</v>
      </c>
      <c r="M308" s="37" t="n">
        <f aca="false">L308*104/100</f>
        <v>0</v>
      </c>
      <c r="N308" s="37" t="n">
        <v>0</v>
      </c>
      <c r="O308" s="33" t="n">
        <v>0</v>
      </c>
      <c r="P308" s="33" t="n">
        <v>0</v>
      </c>
      <c r="Q308" s="33" t="n">
        <v>0</v>
      </c>
      <c r="R308" s="37" t="n">
        <v>0</v>
      </c>
      <c r="T308" s="49"/>
      <c r="U308" s="49"/>
      <c r="V308" s="49"/>
      <c r="W308" s="44"/>
    </row>
    <row r="309" s="42" customFormat="true" ht="14.35" hidden="false" customHeight="true" outlineLevel="0" collapsed="false">
      <c r="A309" s="64" t="s">
        <v>129</v>
      </c>
      <c r="B309" s="54" t="s">
        <v>130</v>
      </c>
      <c r="C309" s="31" t="s">
        <v>30</v>
      </c>
      <c r="D309" s="36" t="s">
        <v>42</v>
      </c>
      <c r="E309" s="36" t="s">
        <v>115</v>
      </c>
      <c r="F309" s="37" t="n">
        <f aca="false">SUM(G309:R309)</f>
        <v>2025896.62474</v>
      </c>
      <c r="G309" s="37" t="n">
        <f aca="false">SUM(G310:G315)</f>
        <v>126308.37448</v>
      </c>
      <c r="H309" s="37" t="n">
        <f aca="false">SUM(H310:H315)</f>
        <v>111571.57913</v>
      </c>
      <c r="I309" s="37" t="n">
        <f aca="false">SUM(I310:I315)</f>
        <v>118134.8968</v>
      </c>
      <c r="J309" s="37" t="n">
        <f aca="false">SUM(J310:J315)</f>
        <v>122530.02458</v>
      </c>
      <c r="K309" s="37" t="n">
        <f aca="false">SUM(K310:K315)</f>
        <v>139478.73424</v>
      </c>
      <c r="L309" s="37" t="n">
        <f aca="false">SUM(L310:L315)</f>
        <v>153162.81387</v>
      </c>
      <c r="M309" s="37" t="n">
        <f aca="false">SUM(M310:M315)</f>
        <v>185421.25337</v>
      </c>
      <c r="N309" s="37" t="n">
        <f aca="false">SUM(N310:N315)</f>
        <v>198811.01555</v>
      </c>
      <c r="O309" s="37" t="n">
        <f aca="false">SUM(O310:O315)</f>
        <v>202126.85763</v>
      </c>
      <c r="P309" s="37" t="n">
        <f aca="false">SUM(P310:P315)</f>
        <v>204140.00123</v>
      </c>
      <c r="Q309" s="37" t="n">
        <f aca="false">SUM(Q310:Q315)</f>
        <v>232319.87986</v>
      </c>
      <c r="R309" s="37" t="n">
        <f aca="false">SUM(R310:R315)</f>
        <v>231891.194</v>
      </c>
      <c r="T309" s="49"/>
      <c r="U309" s="49"/>
      <c r="V309" s="49"/>
      <c r="W309" s="44"/>
    </row>
    <row r="310" s="42" customFormat="true" ht="38.8" hidden="false" customHeight="true" outlineLevel="0" collapsed="false">
      <c r="A310" s="64"/>
      <c r="B310" s="54"/>
      <c r="C310" s="31" t="s">
        <v>31</v>
      </c>
      <c r="D310" s="36"/>
      <c r="E310" s="36"/>
      <c r="F310" s="37" t="n">
        <f aca="false">SUM(G310:R310)</f>
        <v>1574.4</v>
      </c>
      <c r="G310" s="37" t="n">
        <v>640</v>
      </c>
      <c r="H310" s="37" t="n">
        <v>563.2</v>
      </c>
      <c r="I310" s="37" t="n">
        <v>371.2</v>
      </c>
      <c r="J310" s="37" t="n">
        <v>0</v>
      </c>
      <c r="K310" s="37" t="n">
        <v>0</v>
      </c>
      <c r="L310" s="37" t="n">
        <v>0</v>
      </c>
      <c r="M310" s="37" t="n">
        <f aca="false">L310*104/100</f>
        <v>0</v>
      </c>
      <c r="N310" s="37" t="n">
        <v>0</v>
      </c>
      <c r="O310" s="33" t="n">
        <v>0</v>
      </c>
      <c r="P310" s="33" t="n">
        <v>0</v>
      </c>
      <c r="Q310" s="33" t="n">
        <v>0</v>
      </c>
      <c r="R310" s="37" t="n">
        <v>0</v>
      </c>
      <c r="T310" s="49"/>
      <c r="U310" s="49"/>
      <c r="V310" s="49"/>
      <c r="W310" s="44"/>
    </row>
    <row r="311" s="42" customFormat="true" ht="26.1" hidden="false" customHeight="true" outlineLevel="0" collapsed="false">
      <c r="A311" s="64"/>
      <c r="B311" s="54"/>
      <c r="C311" s="31" t="s">
        <v>32</v>
      </c>
      <c r="D311" s="36"/>
      <c r="E311" s="36"/>
      <c r="F311" s="37" t="n">
        <f aca="false">SUM(G311:R311)</f>
        <v>2024322.22474</v>
      </c>
      <c r="G311" s="37" t="n">
        <v>125668.37448</v>
      </c>
      <c r="H311" s="37" t="n">
        <v>111008.37913</v>
      </c>
      <c r="I311" s="37" t="n">
        <v>117763.6968</v>
      </c>
      <c r="J311" s="37" t="n">
        <v>122530.02458</v>
      </c>
      <c r="K311" s="37" t="n">
        <v>139478.73424</v>
      </c>
      <c r="L311" s="37" t="n">
        <v>153162.81387</v>
      </c>
      <c r="M311" s="37" t="n">
        <v>185421.25337</v>
      </c>
      <c r="N311" s="37" t="n">
        <v>198811.01555</v>
      </c>
      <c r="O311" s="37" t="n">
        <v>202126.85763</v>
      </c>
      <c r="P311" s="37" t="n">
        <v>204140.00123</v>
      </c>
      <c r="Q311" s="37" t="n">
        <v>232319.87986</v>
      </c>
      <c r="R311" s="37" t="n">
        <v>231891.194</v>
      </c>
      <c r="T311" s="49"/>
      <c r="U311" s="49"/>
      <c r="V311" s="49"/>
      <c r="W311" s="44"/>
    </row>
    <row r="312" s="42" customFormat="true" ht="22.5" hidden="false" customHeight="false" outlineLevel="0" collapsed="false">
      <c r="A312" s="64"/>
      <c r="B312" s="54"/>
      <c r="C312" s="31" t="s">
        <v>33</v>
      </c>
      <c r="D312" s="36"/>
      <c r="E312" s="36"/>
      <c r="F312" s="37" t="n">
        <f aca="false">SUM(G312:R312)</f>
        <v>0</v>
      </c>
      <c r="G312" s="37" t="n">
        <v>0</v>
      </c>
      <c r="H312" s="37" t="n">
        <v>0</v>
      </c>
      <c r="I312" s="37" t="n">
        <v>0</v>
      </c>
      <c r="J312" s="37" t="n">
        <v>0</v>
      </c>
      <c r="K312" s="37" t="n">
        <v>0</v>
      </c>
      <c r="L312" s="37" t="n">
        <v>0</v>
      </c>
      <c r="M312" s="37" t="n">
        <f aca="false">L312*104/100</f>
        <v>0</v>
      </c>
      <c r="N312" s="37" t="n">
        <v>0</v>
      </c>
      <c r="O312" s="33" t="n">
        <v>0</v>
      </c>
      <c r="P312" s="33" t="n">
        <v>0</v>
      </c>
      <c r="Q312" s="33" t="n">
        <v>0</v>
      </c>
      <c r="R312" s="37" t="n">
        <v>0</v>
      </c>
      <c r="T312" s="49"/>
      <c r="U312" s="49"/>
      <c r="V312" s="49"/>
      <c r="W312" s="44"/>
    </row>
    <row r="313" s="42" customFormat="true" ht="41" hidden="false" customHeight="true" outlineLevel="0" collapsed="false">
      <c r="A313" s="64"/>
      <c r="B313" s="54"/>
      <c r="C313" s="31" t="s">
        <v>34</v>
      </c>
      <c r="D313" s="36"/>
      <c r="E313" s="36"/>
      <c r="F313" s="37" t="n">
        <v>0</v>
      </c>
      <c r="G313" s="37" t="n">
        <v>0</v>
      </c>
      <c r="H313" s="37" t="n">
        <v>0</v>
      </c>
      <c r="I313" s="37" t="n">
        <v>0</v>
      </c>
      <c r="J313" s="37" t="n">
        <v>0</v>
      </c>
      <c r="K313" s="37" t="n">
        <v>0</v>
      </c>
      <c r="L313" s="37" t="n">
        <v>0</v>
      </c>
      <c r="M313" s="37" t="n">
        <f aca="false">L313*104/100</f>
        <v>0</v>
      </c>
      <c r="N313" s="37" t="n">
        <v>0</v>
      </c>
      <c r="O313" s="33" t="n">
        <v>0</v>
      </c>
      <c r="P313" s="33" t="n">
        <v>0</v>
      </c>
      <c r="Q313" s="33" t="n">
        <v>0</v>
      </c>
      <c r="R313" s="37" t="n">
        <v>0</v>
      </c>
      <c r="T313" s="49"/>
      <c r="U313" s="49"/>
      <c r="V313" s="49"/>
      <c r="W313" s="44"/>
    </row>
    <row r="314" s="42" customFormat="true" ht="26.85" hidden="false" customHeight="true" outlineLevel="0" collapsed="false">
      <c r="A314" s="64"/>
      <c r="B314" s="54"/>
      <c r="C314" s="31" t="s">
        <v>35</v>
      </c>
      <c r="D314" s="36"/>
      <c r="E314" s="36"/>
      <c r="F314" s="37" t="n">
        <v>0</v>
      </c>
      <c r="G314" s="37" t="n">
        <v>0</v>
      </c>
      <c r="H314" s="37" t="n">
        <v>0</v>
      </c>
      <c r="I314" s="37" t="n">
        <v>0</v>
      </c>
      <c r="J314" s="37" t="n">
        <v>0</v>
      </c>
      <c r="K314" s="37" t="n">
        <v>0</v>
      </c>
      <c r="L314" s="37" t="n">
        <v>0</v>
      </c>
      <c r="M314" s="37" t="n">
        <f aca="false">L314*104/100</f>
        <v>0</v>
      </c>
      <c r="N314" s="37" t="n">
        <v>0</v>
      </c>
      <c r="O314" s="33" t="n">
        <v>0</v>
      </c>
      <c r="P314" s="33" t="n">
        <v>0</v>
      </c>
      <c r="Q314" s="33" t="n">
        <v>0</v>
      </c>
      <c r="R314" s="37" t="n">
        <v>0</v>
      </c>
      <c r="T314" s="49"/>
      <c r="U314" s="49"/>
      <c r="V314" s="49"/>
      <c r="W314" s="44"/>
    </row>
    <row r="315" s="42" customFormat="true" ht="73.1" hidden="false" customHeight="true" outlineLevel="0" collapsed="false">
      <c r="A315" s="64"/>
      <c r="B315" s="54"/>
      <c r="C315" s="31" t="s">
        <v>36</v>
      </c>
      <c r="D315" s="36"/>
      <c r="E315" s="36"/>
      <c r="F315" s="37" t="n">
        <v>0</v>
      </c>
      <c r="G315" s="37" t="n">
        <v>0</v>
      </c>
      <c r="H315" s="37" t="n">
        <v>0</v>
      </c>
      <c r="I315" s="37" t="n">
        <v>0</v>
      </c>
      <c r="J315" s="37" t="n">
        <v>0</v>
      </c>
      <c r="K315" s="37" t="n">
        <v>0</v>
      </c>
      <c r="L315" s="37" t="n">
        <v>0</v>
      </c>
      <c r="M315" s="37" t="n">
        <f aca="false">L315*104/100</f>
        <v>0</v>
      </c>
      <c r="N315" s="37" t="n">
        <v>0</v>
      </c>
      <c r="O315" s="33" t="n">
        <v>0</v>
      </c>
      <c r="P315" s="33" t="n">
        <v>0</v>
      </c>
      <c r="Q315" s="33" t="n">
        <v>0</v>
      </c>
      <c r="R315" s="37" t="n">
        <v>0</v>
      </c>
      <c r="T315" s="49"/>
      <c r="U315" s="49"/>
      <c r="V315" s="49"/>
      <c r="W315" s="44"/>
    </row>
    <row r="316" s="42" customFormat="true" ht="23.1" hidden="false" customHeight="true" outlineLevel="0" collapsed="false">
      <c r="A316" s="64" t="s">
        <v>131</v>
      </c>
      <c r="B316" s="54" t="s">
        <v>132</v>
      </c>
      <c r="C316" s="31" t="s">
        <v>30</v>
      </c>
      <c r="D316" s="36"/>
      <c r="E316" s="36"/>
      <c r="F316" s="37" t="n">
        <f aca="false">SUM(G316:R316)</f>
        <v>1249856.56466</v>
      </c>
      <c r="G316" s="37" t="n">
        <f aca="false">SUM(G317:G326)</f>
        <v>139533.03962</v>
      </c>
      <c r="H316" s="37" t="n">
        <f aca="false">SUM(H317:H326)</f>
        <v>141284.34</v>
      </c>
      <c r="I316" s="37" t="n">
        <f aca="false">SUM(I317:I326)</f>
        <v>111576.42679</v>
      </c>
      <c r="J316" s="37" t="n">
        <f aca="false">SUM(J317:J326)</f>
        <v>46248.04829</v>
      </c>
      <c r="K316" s="37" t="n">
        <f aca="false">SUM(K317:K326)</f>
        <v>231052.81491</v>
      </c>
      <c r="L316" s="37" t="n">
        <f aca="false">SUM(L317:L326)</f>
        <v>50008.8309</v>
      </c>
      <c r="M316" s="37" t="n">
        <f aca="false">SUM(M317:M328)</f>
        <v>91903.38125</v>
      </c>
      <c r="N316" s="37" t="n">
        <f aca="false">SUM(N317:N328)</f>
        <v>97719.52702</v>
      </c>
      <c r="O316" s="37" t="n">
        <f aca="false">SUM(O317:O328)</f>
        <v>66728.90688</v>
      </c>
      <c r="P316" s="37" t="n">
        <f aca="false">SUM(P317:P328)</f>
        <v>175233.049</v>
      </c>
      <c r="Q316" s="37" t="n">
        <f aca="false">SUM(Q317:Q328)</f>
        <v>49284.1</v>
      </c>
      <c r="R316" s="37" t="n">
        <f aca="false">SUM(R317:R326)</f>
        <v>49284.1</v>
      </c>
      <c r="T316" s="49"/>
      <c r="U316" s="49"/>
      <c r="V316" s="49"/>
      <c r="W316" s="44"/>
    </row>
    <row r="317" s="42" customFormat="true" ht="36.55" hidden="false" customHeight="true" outlineLevel="0" collapsed="false">
      <c r="A317" s="64"/>
      <c r="B317" s="54"/>
      <c r="C317" s="31" t="s">
        <v>31</v>
      </c>
      <c r="D317" s="36" t="s">
        <v>42</v>
      </c>
      <c r="E317" s="36" t="s">
        <v>115</v>
      </c>
      <c r="F317" s="37" t="n">
        <f aca="false">SUM(G317:R317)</f>
        <v>130817.63</v>
      </c>
      <c r="G317" s="37" t="n">
        <v>0</v>
      </c>
      <c r="H317" s="37" t="n">
        <v>0</v>
      </c>
      <c r="I317" s="37" t="n">
        <v>0</v>
      </c>
      <c r="J317" s="37" t="n">
        <v>0</v>
      </c>
      <c r="K317" s="37" t="n">
        <v>105817.63</v>
      </c>
      <c r="L317" s="37" t="n">
        <v>0</v>
      </c>
      <c r="M317" s="37" t="n">
        <v>0</v>
      </c>
      <c r="N317" s="37" t="n">
        <v>0</v>
      </c>
      <c r="O317" s="33" t="n">
        <v>0</v>
      </c>
      <c r="P317" s="33" t="n">
        <v>25000</v>
      </c>
      <c r="Q317" s="33" t="n">
        <v>0</v>
      </c>
      <c r="R317" s="37" t="n">
        <v>0</v>
      </c>
      <c r="T317" s="49"/>
      <c r="U317" s="49"/>
      <c r="V317" s="49"/>
      <c r="W317" s="44"/>
    </row>
    <row r="318" s="42" customFormat="true" ht="26.1" hidden="false" customHeight="true" outlineLevel="0" collapsed="false">
      <c r="A318" s="64"/>
      <c r="B318" s="54"/>
      <c r="C318" s="31" t="s">
        <v>32</v>
      </c>
      <c r="D318" s="36" t="s">
        <v>42</v>
      </c>
      <c r="E318" s="36" t="s">
        <v>115</v>
      </c>
      <c r="F318" s="37" t="n">
        <f aca="false">SUM(G318:R318)</f>
        <v>1088158.93466</v>
      </c>
      <c r="G318" s="37" t="n">
        <f aca="false">139533.03962-4100</f>
        <v>135433.03962</v>
      </c>
      <c r="H318" s="37" t="n">
        <f aca="false">141284.34-H324</f>
        <v>136684.34</v>
      </c>
      <c r="I318" s="37" t="n">
        <f aca="false">16150+91226.42679</f>
        <v>107376.42679</v>
      </c>
      <c r="J318" s="37" t="n">
        <v>41848.04829</v>
      </c>
      <c r="K318" s="37" t="n">
        <v>116655.18491</v>
      </c>
      <c r="L318" s="37" t="n">
        <v>47008.8309</v>
      </c>
      <c r="M318" s="37" t="n">
        <v>90903.38125</v>
      </c>
      <c r="N318" s="37" t="n">
        <v>96719.52702</v>
      </c>
      <c r="O318" s="37" t="n">
        <v>66728.90688</v>
      </c>
      <c r="P318" s="37" t="n">
        <v>150233.049</v>
      </c>
      <c r="Q318" s="37" t="n">
        <v>49284.1</v>
      </c>
      <c r="R318" s="37" t="n">
        <v>49284.1</v>
      </c>
      <c r="T318" s="44"/>
      <c r="U318" s="49"/>
      <c r="V318" s="49"/>
      <c r="W318" s="44"/>
    </row>
    <row r="319" s="42" customFormat="true" ht="26.1" hidden="false" customHeight="true" outlineLevel="0" collapsed="false">
      <c r="A319" s="64"/>
      <c r="B319" s="54"/>
      <c r="C319" s="31" t="s">
        <v>33</v>
      </c>
      <c r="D319" s="36"/>
      <c r="E319" s="36"/>
      <c r="F319" s="37" t="n">
        <f aca="false">SUM(G319:R319)</f>
        <v>0</v>
      </c>
      <c r="G319" s="37" t="n">
        <v>0</v>
      </c>
      <c r="H319" s="37" t="n">
        <v>0</v>
      </c>
      <c r="I319" s="37" t="n">
        <v>0</v>
      </c>
      <c r="J319" s="37" t="n">
        <v>0</v>
      </c>
      <c r="K319" s="37" t="n">
        <v>0</v>
      </c>
      <c r="L319" s="37" t="n">
        <v>0</v>
      </c>
      <c r="M319" s="37" t="n">
        <f aca="false">L319*104/100</f>
        <v>0</v>
      </c>
      <c r="N319" s="37" t="n">
        <v>0</v>
      </c>
      <c r="O319" s="33" t="n">
        <v>0</v>
      </c>
      <c r="P319" s="33" t="n">
        <v>0</v>
      </c>
      <c r="Q319" s="33" t="n">
        <v>0</v>
      </c>
      <c r="R319" s="37" t="n">
        <v>0</v>
      </c>
      <c r="T319" s="49"/>
      <c r="U319" s="49"/>
      <c r="V319" s="49"/>
      <c r="W319" s="44"/>
    </row>
    <row r="320" s="42" customFormat="true" ht="38.05" hidden="false" customHeight="true" outlineLevel="0" collapsed="false">
      <c r="A320" s="64"/>
      <c r="B320" s="54"/>
      <c r="C320" s="31" t="s">
        <v>31</v>
      </c>
      <c r="D320" s="36" t="s">
        <v>48</v>
      </c>
      <c r="E320" s="36" t="s">
        <v>115</v>
      </c>
      <c r="F320" s="37" t="n">
        <f aca="false">SUM(G320:R320)</f>
        <v>3320</v>
      </c>
      <c r="G320" s="37" t="n">
        <v>0</v>
      </c>
      <c r="H320" s="37" t="n">
        <v>0</v>
      </c>
      <c r="I320" s="37" t="n">
        <v>0</v>
      </c>
      <c r="J320" s="37" t="n">
        <v>0</v>
      </c>
      <c r="K320" s="37" t="n">
        <v>3320</v>
      </c>
      <c r="L320" s="37" t="n">
        <v>0</v>
      </c>
      <c r="M320" s="37" t="n">
        <f aca="false">L320*104/100</f>
        <v>0</v>
      </c>
      <c r="N320" s="37" t="n">
        <v>0</v>
      </c>
      <c r="O320" s="33" t="n">
        <v>0</v>
      </c>
      <c r="P320" s="33" t="n">
        <v>0</v>
      </c>
      <c r="Q320" s="33" t="n">
        <v>0</v>
      </c>
      <c r="R320" s="37" t="n">
        <v>0</v>
      </c>
      <c r="T320" s="49"/>
      <c r="U320" s="49"/>
      <c r="V320" s="49"/>
      <c r="W320" s="44"/>
    </row>
    <row r="321" s="42" customFormat="true" ht="22.5" hidden="false" customHeight="false" outlineLevel="0" collapsed="false">
      <c r="A321" s="64"/>
      <c r="B321" s="54"/>
      <c r="C321" s="31" t="s">
        <v>32</v>
      </c>
      <c r="D321" s="34"/>
      <c r="E321" s="34"/>
      <c r="F321" s="37" t="n">
        <f aca="false">SUM(G321:R321)</f>
        <v>0</v>
      </c>
      <c r="G321" s="37" t="n">
        <f aca="false">7000-7000</f>
        <v>0</v>
      </c>
      <c r="H321" s="37" t="n">
        <v>0</v>
      </c>
      <c r="I321" s="37" t="n">
        <v>0</v>
      </c>
      <c r="J321" s="37" t="n">
        <v>0</v>
      </c>
      <c r="K321" s="37" t="n">
        <v>0</v>
      </c>
      <c r="L321" s="37" t="n">
        <v>0</v>
      </c>
      <c r="M321" s="37" t="n">
        <f aca="false">L321*104/100</f>
        <v>0</v>
      </c>
      <c r="N321" s="37" t="n">
        <v>0</v>
      </c>
      <c r="O321" s="33" t="n">
        <v>0</v>
      </c>
      <c r="P321" s="33" t="n">
        <v>0</v>
      </c>
      <c r="Q321" s="33" t="n">
        <v>0</v>
      </c>
      <c r="R321" s="37" t="n">
        <v>0</v>
      </c>
      <c r="T321" s="49"/>
      <c r="U321" s="49"/>
      <c r="V321" s="49"/>
      <c r="W321" s="44"/>
    </row>
    <row r="322" s="42" customFormat="true" ht="22.5" hidden="false" customHeight="false" outlineLevel="0" collapsed="false">
      <c r="A322" s="64"/>
      <c r="B322" s="54"/>
      <c r="C322" s="31" t="s">
        <v>33</v>
      </c>
      <c r="D322" s="36"/>
      <c r="E322" s="36"/>
      <c r="F322" s="37" t="n">
        <f aca="false">SUM(G322:R322)</f>
        <v>0</v>
      </c>
      <c r="G322" s="37" t="n">
        <v>0</v>
      </c>
      <c r="H322" s="37" t="n">
        <v>0</v>
      </c>
      <c r="I322" s="37" t="n">
        <v>0</v>
      </c>
      <c r="J322" s="37" t="n">
        <v>0</v>
      </c>
      <c r="K322" s="37" t="n">
        <v>0</v>
      </c>
      <c r="L322" s="37" t="n">
        <v>0</v>
      </c>
      <c r="M322" s="37" t="n">
        <f aca="false">L322*104/100</f>
        <v>0</v>
      </c>
      <c r="N322" s="37" t="n">
        <v>0</v>
      </c>
      <c r="O322" s="33" t="n">
        <v>0</v>
      </c>
      <c r="P322" s="33" t="n">
        <v>0</v>
      </c>
      <c r="Q322" s="33" t="n">
        <v>0</v>
      </c>
      <c r="R322" s="37" t="n">
        <v>0</v>
      </c>
      <c r="T322" s="49"/>
      <c r="U322" s="49"/>
      <c r="V322" s="49"/>
      <c r="W322" s="44"/>
    </row>
    <row r="323" s="42" customFormat="true" ht="36.55" hidden="false" customHeight="true" outlineLevel="0" collapsed="false">
      <c r="A323" s="64"/>
      <c r="B323" s="54"/>
      <c r="C323" s="31" t="s">
        <v>31</v>
      </c>
      <c r="D323" s="36"/>
      <c r="E323" s="36"/>
      <c r="F323" s="37" t="n">
        <f aca="false">SUM(G323:R323)</f>
        <v>0</v>
      </c>
      <c r="G323" s="37" t="n">
        <v>0</v>
      </c>
      <c r="H323" s="37" t="n">
        <v>0</v>
      </c>
      <c r="I323" s="37" t="n">
        <v>0</v>
      </c>
      <c r="J323" s="37" t="n">
        <v>0</v>
      </c>
      <c r="K323" s="37" t="n">
        <v>0</v>
      </c>
      <c r="L323" s="37" t="n">
        <v>0</v>
      </c>
      <c r="M323" s="37" t="n">
        <f aca="false">L323*104/100</f>
        <v>0</v>
      </c>
      <c r="N323" s="37" t="n">
        <v>0</v>
      </c>
      <c r="O323" s="33" t="n">
        <v>0</v>
      </c>
      <c r="P323" s="33" t="n">
        <v>0</v>
      </c>
      <c r="Q323" s="33" t="n">
        <v>0</v>
      </c>
      <c r="R323" s="37" t="n">
        <v>0</v>
      </c>
      <c r="T323" s="49"/>
      <c r="U323" s="49"/>
      <c r="V323" s="49"/>
      <c r="W323" s="44"/>
    </row>
    <row r="324" s="42" customFormat="true" ht="26.85" hidden="false" customHeight="true" outlineLevel="0" collapsed="false">
      <c r="A324" s="64"/>
      <c r="B324" s="54"/>
      <c r="C324" s="31" t="s">
        <v>32</v>
      </c>
      <c r="D324" s="36" t="s">
        <v>116</v>
      </c>
      <c r="E324" s="36" t="s">
        <v>115</v>
      </c>
      <c r="F324" s="37" t="n">
        <f aca="false">SUM(G324:R324)</f>
        <v>27560</v>
      </c>
      <c r="G324" s="37" t="n">
        <v>4100</v>
      </c>
      <c r="H324" s="37" t="n">
        <v>4600</v>
      </c>
      <c r="I324" s="37" t="n">
        <v>4200</v>
      </c>
      <c r="J324" s="37" t="n">
        <v>4400</v>
      </c>
      <c r="K324" s="37" t="n">
        <v>5260</v>
      </c>
      <c r="L324" s="37" t="n">
        <v>3000</v>
      </c>
      <c r="M324" s="37" t="n">
        <v>1000</v>
      </c>
      <c r="N324" s="37" t="n">
        <v>1000</v>
      </c>
      <c r="O324" s="37" t="n">
        <v>0</v>
      </c>
      <c r="P324" s="37" t="n">
        <v>0</v>
      </c>
      <c r="Q324" s="37" t="n">
        <f aca="false">P324*1.04</f>
        <v>0</v>
      </c>
      <c r="R324" s="37" t="n">
        <f aca="false">Q324*1.04</f>
        <v>0</v>
      </c>
      <c r="T324" s="49"/>
      <c r="U324" s="49"/>
      <c r="V324" s="49"/>
      <c r="W324" s="44"/>
    </row>
    <row r="325" s="42" customFormat="true" ht="26.1" hidden="false" customHeight="true" outlineLevel="0" collapsed="false">
      <c r="A325" s="64"/>
      <c r="B325" s="54"/>
      <c r="C325" s="31" t="s">
        <v>33</v>
      </c>
      <c r="D325" s="36"/>
      <c r="E325" s="36"/>
      <c r="F325" s="37" t="n">
        <f aca="false">SUM(G325:R325)</f>
        <v>0</v>
      </c>
      <c r="G325" s="37" t="n">
        <v>0</v>
      </c>
      <c r="H325" s="37" t="n">
        <v>0</v>
      </c>
      <c r="I325" s="37" t="n">
        <v>0</v>
      </c>
      <c r="J325" s="37" t="n">
        <v>0</v>
      </c>
      <c r="K325" s="37" t="n">
        <v>0</v>
      </c>
      <c r="L325" s="37" t="n">
        <v>0</v>
      </c>
      <c r="M325" s="37" t="n">
        <f aca="false">L325*104/100</f>
        <v>0</v>
      </c>
      <c r="N325" s="37" t="n">
        <v>0</v>
      </c>
      <c r="O325" s="33" t="n">
        <v>0</v>
      </c>
      <c r="P325" s="33" t="n">
        <v>0</v>
      </c>
      <c r="Q325" s="33" t="n">
        <v>0</v>
      </c>
      <c r="R325" s="37" t="n">
        <v>0</v>
      </c>
      <c r="T325" s="49"/>
      <c r="U325" s="49"/>
      <c r="V325" s="49"/>
      <c r="W325" s="44"/>
    </row>
    <row r="326" s="42" customFormat="true" ht="44.75" hidden="false" customHeight="true" outlineLevel="0" collapsed="false">
      <c r="A326" s="64"/>
      <c r="B326" s="54"/>
      <c r="C326" s="31" t="s">
        <v>34</v>
      </c>
      <c r="D326" s="36"/>
      <c r="E326" s="36"/>
      <c r="F326" s="37" t="n">
        <f aca="false">SUM(G326:R326)</f>
        <v>0</v>
      </c>
      <c r="G326" s="37" t="n">
        <v>0</v>
      </c>
      <c r="H326" s="37" t="n">
        <v>0</v>
      </c>
      <c r="I326" s="37" t="n">
        <v>0</v>
      </c>
      <c r="J326" s="37" t="n">
        <v>0</v>
      </c>
      <c r="K326" s="37" t="n">
        <v>0</v>
      </c>
      <c r="L326" s="37" t="n">
        <v>0</v>
      </c>
      <c r="M326" s="37" t="n">
        <f aca="false">L326*104/100</f>
        <v>0</v>
      </c>
      <c r="N326" s="37" t="n">
        <v>0</v>
      </c>
      <c r="O326" s="33" t="n">
        <v>0</v>
      </c>
      <c r="P326" s="33" t="n">
        <v>0</v>
      </c>
      <c r="Q326" s="33" t="n">
        <v>0</v>
      </c>
      <c r="R326" s="37" t="n">
        <v>0</v>
      </c>
      <c r="T326" s="49"/>
      <c r="U326" s="49"/>
      <c r="V326" s="49"/>
      <c r="W326" s="44"/>
    </row>
    <row r="327" s="42" customFormat="true" ht="38.05" hidden="false" customHeight="true" outlineLevel="0" collapsed="false">
      <c r="A327" s="64"/>
      <c r="B327" s="54"/>
      <c r="C327" s="31" t="s">
        <v>35</v>
      </c>
      <c r="D327" s="36"/>
      <c r="E327" s="36"/>
      <c r="F327" s="37" t="n">
        <f aca="false">SUM(G327:R327)</f>
        <v>0</v>
      </c>
      <c r="G327" s="37" t="n">
        <v>0</v>
      </c>
      <c r="H327" s="37" t="n">
        <v>0</v>
      </c>
      <c r="I327" s="37" t="n">
        <v>0</v>
      </c>
      <c r="J327" s="37" t="n">
        <v>0</v>
      </c>
      <c r="K327" s="37" t="n">
        <v>0</v>
      </c>
      <c r="L327" s="37" t="n">
        <v>0</v>
      </c>
      <c r="M327" s="37" t="n">
        <f aca="false">L327*104/100</f>
        <v>0</v>
      </c>
      <c r="N327" s="37" t="n">
        <v>0</v>
      </c>
      <c r="O327" s="33" t="n">
        <v>0</v>
      </c>
      <c r="P327" s="33" t="n">
        <v>0</v>
      </c>
      <c r="Q327" s="33" t="n">
        <v>0</v>
      </c>
      <c r="R327" s="37" t="n">
        <v>0</v>
      </c>
      <c r="T327" s="49"/>
      <c r="U327" s="49"/>
      <c r="V327" s="49"/>
      <c r="W327" s="44"/>
    </row>
    <row r="328" s="42" customFormat="true" ht="75.35" hidden="false" customHeight="true" outlineLevel="0" collapsed="false">
      <c r="A328" s="64"/>
      <c r="B328" s="54"/>
      <c r="C328" s="31" t="s">
        <v>36</v>
      </c>
      <c r="D328" s="36"/>
      <c r="E328" s="36"/>
      <c r="F328" s="37" t="n">
        <f aca="false">SUM(G328:R328)</f>
        <v>0</v>
      </c>
      <c r="G328" s="37" t="n">
        <v>0</v>
      </c>
      <c r="H328" s="37" t="n">
        <v>0</v>
      </c>
      <c r="I328" s="37" t="n">
        <v>0</v>
      </c>
      <c r="J328" s="37" t="n">
        <v>0</v>
      </c>
      <c r="K328" s="37" t="n">
        <v>0</v>
      </c>
      <c r="L328" s="37" t="n">
        <v>0</v>
      </c>
      <c r="M328" s="37" t="n">
        <f aca="false">L328*104/100</f>
        <v>0</v>
      </c>
      <c r="N328" s="37" t="n">
        <v>0</v>
      </c>
      <c r="O328" s="33" t="n">
        <v>0</v>
      </c>
      <c r="P328" s="33" t="n">
        <v>0</v>
      </c>
      <c r="Q328" s="33" t="n">
        <v>0</v>
      </c>
      <c r="R328" s="37" t="n">
        <v>0</v>
      </c>
      <c r="T328" s="49"/>
      <c r="U328" s="49"/>
      <c r="V328" s="49"/>
      <c r="W328" s="44"/>
    </row>
    <row r="329" s="42" customFormat="true" ht="21.6" hidden="false" customHeight="true" outlineLevel="0" collapsed="false">
      <c r="A329" s="64" t="s">
        <v>133</v>
      </c>
      <c r="B329" s="54" t="s">
        <v>134</v>
      </c>
      <c r="C329" s="31" t="s">
        <v>30</v>
      </c>
      <c r="D329" s="36" t="s">
        <v>42</v>
      </c>
      <c r="E329" s="36" t="s">
        <v>115</v>
      </c>
      <c r="F329" s="37" t="n">
        <f aca="false">SUM(G329:R329)</f>
        <v>210124.0311</v>
      </c>
      <c r="G329" s="37" t="n">
        <f aca="false">SUM(G330:G335)</f>
        <v>21108.24472</v>
      </c>
      <c r="H329" s="37" t="n">
        <f aca="false">SUM(H330:H335)</f>
        <v>19764.47078</v>
      </c>
      <c r="I329" s="37" t="n">
        <f aca="false">SUM(I330:I335)</f>
        <v>20333.92173</v>
      </c>
      <c r="J329" s="37" t="n">
        <f aca="false">SUM(J330:J335)</f>
        <v>17397.26993</v>
      </c>
      <c r="K329" s="37" t="n">
        <f aca="false">SUM(K330:K335)</f>
        <v>18822.1375</v>
      </c>
      <c r="L329" s="37" t="n">
        <f aca="false">SUM(L330:L335)</f>
        <v>16741.43629</v>
      </c>
      <c r="M329" s="37" t="n">
        <f aca="false">SUM(M330:M335)</f>
        <v>13930.48859</v>
      </c>
      <c r="N329" s="37" t="n">
        <f aca="false">SUM(N330:N335)</f>
        <v>19473.35848</v>
      </c>
      <c r="O329" s="37" t="n">
        <f aca="false">SUM(O330:O335)</f>
        <v>14199.90308</v>
      </c>
      <c r="P329" s="37" t="n">
        <f aca="false">SUM(P330:P335)</f>
        <v>16117.6</v>
      </c>
      <c r="Q329" s="37" t="n">
        <f aca="false">SUM(Q330:Q335)</f>
        <v>16117.6</v>
      </c>
      <c r="R329" s="37" t="n">
        <f aca="false">SUM(R330:R335)</f>
        <v>16117.6</v>
      </c>
      <c r="T329" s="49"/>
      <c r="U329" s="49"/>
      <c r="V329" s="49"/>
      <c r="W329" s="44"/>
    </row>
    <row r="330" s="42" customFormat="true" ht="41.75" hidden="false" customHeight="true" outlineLevel="0" collapsed="false">
      <c r="A330" s="64"/>
      <c r="B330" s="54"/>
      <c r="C330" s="31" t="s">
        <v>31</v>
      </c>
      <c r="D330" s="36"/>
      <c r="E330" s="36"/>
      <c r="F330" s="37" t="n">
        <f aca="false">SUM(G330:R330)</f>
        <v>0</v>
      </c>
      <c r="G330" s="37" t="n">
        <v>0</v>
      </c>
      <c r="H330" s="37" t="n">
        <v>0</v>
      </c>
      <c r="I330" s="37" t="n">
        <v>0</v>
      </c>
      <c r="J330" s="37" t="n">
        <v>0</v>
      </c>
      <c r="K330" s="37" t="n">
        <v>0</v>
      </c>
      <c r="L330" s="37" t="n">
        <v>0</v>
      </c>
      <c r="M330" s="37" t="n">
        <f aca="false">L330*104/100</f>
        <v>0</v>
      </c>
      <c r="N330" s="37" t="n">
        <v>0</v>
      </c>
      <c r="O330" s="33" t="n">
        <v>0</v>
      </c>
      <c r="P330" s="33" t="n">
        <v>0</v>
      </c>
      <c r="Q330" s="33" t="n">
        <v>0</v>
      </c>
      <c r="R330" s="37" t="n">
        <v>0</v>
      </c>
      <c r="T330" s="49"/>
      <c r="U330" s="49"/>
      <c r="V330" s="49"/>
      <c r="W330" s="44"/>
    </row>
    <row r="331" s="42" customFormat="true" ht="29.1" hidden="false" customHeight="true" outlineLevel="0" collapsed="false">
      <c r="A331" s="64"/>
      <c r="B331" s="54"/>
      <c r="C331" s="31" t="s">
        <v>32</v>
      </c>
      <c r="D331" s="36"/>
      <c r="E331" s="36"/>
      <c r="F331" s="37" t="n">
        <f aca="false">SUM(G331:R331)</f>
        <v>210124.0311</v>
      </c>
      <c r="G331" s="37" t="n">
        <v>21108.24472</v>
      </c>
      <c r="H331" s="37" t="n">
        <v>19764.47078</v>
      </c>
      <c r="I331" s="37" t="n">
        <f aca="false">18400.71331+1933.20842</f>
        <v>20333.92173</v>
      </c>
      <c r="J331" s="37" t="n">
        <v>17397.26993</v>
      </c>
      <c r="K331" s="37" t="n">
        <v>18822.1375</v>
      </c>
      <c r="L331" s="37" t="n">
        <v>16741.43629</v>
      </c>
      <c r="M331" s="37" t="n">
        <v>13930.48859</v>
      </c>
      <c r="N331" s="37" t="n">
        <v>19473.35848</v>
      </c>
      <c r="O331" s="37" t="n">
        <v>14199.90308</v>
      </c>
      <c r="P331" s="37" t="n">
        <v>16117.6</v>
      </c>
      <c r="Q331" s="37" t="n">
        <v>16117.6</v>
      </c>
      <c r="R331" s="37" t="n">
        <v>16117.6</v>
      </c>
      <c r="T331" s="49"/>
      <c r="U331" s="49"/>
      <c r="V331" s="49"/>
      <c r="W331" s="44"/>
    </row>
    <row r="332" s="42" customFormat="true" ht="30.55" hidden="false" customHeight="true" outlineLevel="0" collapsed="false">
      <c r="A332" s="64"/>
      <c r="B332" s="54"/>
      <c r="C332" s="31" t="s">
        <v>33</v>
      </c>
      <c r="D332" s="36"/>
      <c r="E332" s="36"/>
      <c r="F332" s="37" t="n">
        <f aca="false">SUM(G332:M332)</f>
        <v>0</v>
      </c>
      <c r="G332" s="37" t="n">
        <v>0</v>
      </c>
      <c r="H332" s="37" t="n">
        <v>0</v>
      </c>
      <c r="I332" s="37" t="n">
        <v>0</v>
      </c>
      <c r="J332" s="37" t="n">
        <v>0</v>
      </c>
      <c r="K332" s="37" t="n">
        <v>0</v>
      </c>
      <c r="L332" s="37" t="n">
        <v>0</v>
      </c>
      <c r="M332" s="37" t="n">
        <f aca="false">L332*104/100</f>
        <v>0</v>
      </c>
      <c r="N332" s="37" t="n">
        <v>0</v>
      </c>
      <c r="O332" s="33" t="n">
        <v>0</v>
      </c>
      <c r="P332" s="33" t="n">
        <v>0</v>
      </c>
      <c r="Q332" s="33" t="n">
        <v>0</v>
      </c>
      <c r="R332" s="37" t="n">
        <v>0</v>
      </c>
      <c r="T332" s="49"/>
      <c r="U332" s="49"/>
      <c r="V332" s="49"/>
      <c r="W332" s="44"/>
    </row>
    <row r="333" s="42" customFormat="true" ht="38.05" hidden="false" customHeight="true" outlineLevel="0" collapsed="false">
      <c r="A333" s="64"/>
      <c r="B333" s="54"/>
      <c r="C333" s="31" t="s">
        <v>34</v>
      </c>
      <c r="D333" s="36"/>
      <c r="E333" s="36"/>
      <c r="F333" s="37" t="n">
        <v>0</v>
      </c>
      <c r="G333" s="37" t="n">
        <v>0</v>
      </c>
      <c r="H333" s="37" t="n">
        <v>0</v>
      </c>
      <c r="I333" s="37" t="n">
        <v>0</v>
      </c>
      <c r="J333" s="37" t="n">
        <v>0</v>
      </c>
      <c r="K333" s="37" t="n">
        <v>0</v>
      </c>
      <c r="L333" s="37" t="n">
        <v>0</v>
      </c>
      <c r="M333" s="37" t="n">
        <f aca="false">L333*104/100</f>
        <v>0</v>
      </c>
      <c r="N333" s="37" t="n">
        <v>0</v>
      </c>
      <c r="O333" s="33" t="n">
        <v>0</v>
      </c>
      <c r="P333" s="33" t="n">
        <v>0</v>
      </c>
      <c r="Q333" s="33" t="n">
        <v>0</v>
      </c>
      <c r="R333" s="37" t="n">
        <v>0</v>
      </c>
      <c r="T333" s="49"/>
      <c r="U333" s="49"/>
      <c r="V333" s="49"/>
      <c r="W333" s="44"/>
    </row>
    <row r="334" s="42" customFormat="true" ht="29.85" hidden="false" customHeight="true" outlineLevel="0" collapsed="false">
      <c r="A334" s="64"/>
      <c r="B334" s="54"/>
      <c r="C334" s="31" t="s">
        <v>35</v>
      </c>
      <c r="D334" s="36"/>
      <c r="E334" s="36"/>
      <c r="F334" s="37" t="n">
        <v>0</v>
      </c>
      <c r="G334" s="37" t="n">
        <v>0</v>
      </c>
      <c r="H334" s="37" t="n">
        <v>0</v>
      </c>
      <c r="I334" s="37" t="n">
        <v>0</v>
      </c>
      <c r="J334" s="37" t="n">
        <v>0</v>
      </c>
      <c r="K334" s="37" t="n">
        <v>0</v>
      </c>
      <c r="L334" s="37" t="n">
        <v>0</v>
      </c>
      <c r="M334" s="37" t="n">
        <f aca="false">L334*104/100</f>
        <v>0</v>
      </c>
      <c r="N334" s="37" t="n">
        <v>0</v>
      </c>
      <c r="O334" s="33" t="n">
        <v>0</v>
      </c>
      <c r="P334" s="33" t="n">
        <v>0</v>
      </c>
      <c r="Q334" s="33" t="n">
        <v>0</v>
      </c>
      <c r="R334" s="37" t="n">
        <v>0</v>
      </c>
      <c r="T334" s="49"/>
      <c r="U334" s="49"/>
      <c r="V334" s="49"/>
      <c r="W334" s="44"/>
    </row>
    <row r="335" s="42" customFormat="true" ht="72.35" hidden="false" customHeight="true" outlineLevel="0" collapsed="false">
      <c r="A335" s="64"/>
      <c r="B335" s="54"/>
      <c r="C335" s="31" t="s">
        <v>36</v>
      </c>
      <c r="D335" s="36"/>
      <c r="E335" s="36"/>
      <c r="F335" s="37" t="n">
        <v>0</v>
      </c>
      <c r="G335" s="37" t="n">
        <v>0</v>
      </c>
      <c r="H335" s="37" t="n">
        <v>0</v>
      </c>
      <c r="I335" s="37" t="n">
        <v>0</v>
      </c>
      <c r="J335" s="37" t="n">
        <v>0</v>
      </c>
      <c r="K335" s="37" t="n">
        <v>0</v>
      </c>
      <c r="L335" s="37" t="n">
        <v>0</v>
      </c>
      <c r="M335" s="37" t="n">
        <f aca="false">L335*104/100</f>
        <v>0</v>
      </c>
      <c r="N335" s="37" t="n">
        <v>0</v>
      </c>
      <c r="O335" s="33" t="n">
        <v>0</v>
      </c>
      <c r="P335" s="33" t="n">
        <v>0</v>
      </c>
      <c r="Q335" s="33" t="n">
        <v>0</v>
      </c>
      <c r="R335" s="37" t="n">
        <v>0</v>
      </c>
      <c r="T335" s="49"/>
      <c r="U335" s="49"/>
      <c r="V335" s="49"/>
      <c r="W335" s="44"/>
    </row>
    <row r="336" s="42" customFormat="true" ht="20.85" hidden="false" customHeight="true" outlineLevel="0" collapsed="false">
      <c r="A336" s="64" t="s">
        <v>135</v>
      </c>
      <c r="B336" s="54" t="s">
        <v>136</v>
      </c>
      <c r="C336" s="31" t="s">
        <v>30</v>
      </c>
      <c r="D336" s="36" t="s">
        <v>42</v>
      </c>
      <c r="E336" s="36" t="s">
        <v>115</v>
      </c>
      <c r="F336" s="37" t="n">
        <f aca="false">SUM(G336:R336)</f>
        <v>238446.64859</v>
      </c>
      <c r="G336" s="37" t="n">
        <f aca="false">SUM(G337:G342)</f>
        <v>350.192</v>
      </c>
      <c r="H336" s="37" t="n">
        <f aca="false">SUM(H337:H342)</f>
        <v>1128.287</v>
      </c>
      <c r="I336" s="37" t="n">
        <f aca="false">SUM(I337:I342)</f>
        <v>2300.29197</v>
      </c>
      <c r="J336" s="37" t="n">
        <f aca="false">SUM(J337:J342)</f>
        <v>5228.5263</v>
      </c>
      <c r="K336" s="37" t="n">
        <f aca="false">SUM(K337:K342)</f>
        <v>7357.9</v>
      </c>
      <c r="L336" s="37" t="n">
        <f aca="false">SUM(L337:L342)</f>
        <v>10335.56431</v>
      </c>
      <c r="M336" s="37" t="n">
        <f aca="false">SUM(M337:M342)</f>
        <v>16417.28386</v>
      </c>
      <c r="N336" s="37" t="n">
        <f aca="false">SUM(N337:N342)</f>
        <v>24150.28979</v>
      </c>
      <c r="O336" s="37" t="n">
        <f aca="false">SUM(O337:O342)</f>
        <v>31996.77836</v>
      </c>
      <c r="P336" s="37" t="n">
        <f aca="false">SUM(P337:P342)</f>
        <v>48333.053</v>
      </c>
      <c r="Q336" s="37" t="n">
        <f aca="false">SUM(Q337:Q342)</f>
        <v>45424.241</v>
      </c>
      <c r="R336" s="37" t="n">
        <f aca="false">SUM(R337:R342)</f>
        <v>45424.241</v>
      </c>
      <c r="T336" s="49"/>
      <c r="U336" s="49"/>
      <c r="V336" s="49"/>
      <c r="W336" s="44"/>
    </row>
    <row r="337" s="42" customFormat="true" ht="34.5" hidden="false" customHeight="true" outlineLevel="0" collapsed="false">
      <c r="A337" s="64"/>
      <c r="B337" s="54"/>
      <c r="C337" s="31" t="s">
        <v>31</v>
      </c>
      <c r="D337" s="36"/>
      <c r="E337" s="36"/>
      <c r="F337" s="37" t="n">
        <f aca="false">SUM(G337:R337)</f>
        <v>0</v>
      </c>
      <c r="G337" s="37" t="n">
        <v>0</v>
      </c>
      <c r="H337" s="37" t="n">
        <v>0</v>
      </c>
      <c r="I337" s="37" t="n">
        <v>0</v>
      </c>
      <c r="J337" s="37" t="n">
        <v>0</v>
      </c>
      <c r="K337" s="37" t="n">
        <v>0</v>
      </c>
      <c r="L337" s="37" t="n">
        <v>0</v>
      </c>
      <c r="M337" s="37" t="n">
        <f aca="false">L337*104/100</f>
        <v>0</v>
      </c>
      <c r="N337" s="37" t="n">
        <v>0</v>
      </c>
      <c r="O337" s="33" t="n">
        <v>0</v>
      </c>
      <c r="P337" s="33" t="n">
        <v>0</v>
      </c>
      <c r="Q337" s="33" t="n">
        <v>0</v>
      </c>
      <c r="R337" s="37" t="n">
        <v>0</v>
      </c>
      <c r="T337" s="49"/>
      <c r="U337" s="49"/>
      <c r="V337" s="49"/>
      <c r="W337" s="44"/>
    </row>
    <row r="338" s="42" customFormat="true" ht="26.85" hidden="false" customHeight="true" outlineLevel="0" collapsed="false">
      <c r="A338" s="64"/>
      <c r="B338" s="54"/>
      <c r="C338" s="31" t="s">
        <v>32</v>
      </c>
      <c r="D338" s="36"/>
      <c r="E338" s="36"/>
      <c r="F338" s="37" t="n">
        <f aca="false">SUM(G338:R338)</f>
        <v>238446.64859</v>
      </c>
      <c r="G338" s="37" t="n">
        <v>350.192</v>
      </c>
      <c r="H338" s="37" t="n">
        <v>1128.287</v>
      </c>
      <c r="I338" s="37" t="n">
        <v>2300.29197</v>
      </c>
      <c r="J338" s="37" t="n">
        <v>5228.5263</v>
      </c>
      <c r="K338" s="37" t="n">
        <v>7357.9</v>
      </c>
      <c r="L338" s="37" t="n">
        <v>10335.56431</v>
      </c>
      <c r="M338" s="37" t="n">
        <v>16417.28386</v>
      </c>
      <c r="N338" s="37" t="n">
        <v>24150.28979</v>
      </c>
      <c r="O338" s="37" t="n">
        <v>31996.77836</v>
      </c>
      <c r="P338" s="37" t="n">
        <v>48333.053</v>
      </c>
      <c r="Q338" s="37" t="n">
        <v>45424.241</v>
      </c>
      <c r="R338" s="37" t="n">
        <v>45424.241</v>
      </c>
      <c r="T338" s="49"/>
      <c r="U338" s="49"/>
      <c r="V338" s="49"/>
      <c r="W338" s="44"/>
    </row>
    <row r="339" s="42" customFormat="true" ht="24" hidden="false" customHeight="true" outlineLevel="0" collapsed="false">
      <c r="A339" s="64"/>
      <c r="B339" s="54"/>
      <c r="C339" s="31" t="s">
        <v>33</v>
      </c>
      <c r="D339" s="36"/>
      <c r="E339" s="36"/>
      <c r="F339" s="37" t="n">
        <f aca="false">SUM(G339:M339)</f>
        <v>0</v>
      </c>
      <c r="G339" s="37" t="n">
        <v>0</v>
      </c>
      <c r="H339" s="37" t="n">
        <v>0</v>
      </c>
      <c r="I339" s="37" t="n">
        <v>0</v>
      </c>
      <c r="J339" s="37" t="n">
        <v>0</v>
      </c>
      <c r="K339" s="37" t="n">
        <v>0</v>
      </c>
      <c r="L339" s="37" t="n">
        <v>0</v>
      </c>
      <c r="M339" s="37" t="n">
        <f aca="false">L339*104/100</f>
        <v>0</v>
      </c>
      <c r="N339" s="37" t="n">
        <v>0</v>
      </c>
      <c r="O339" s="33" t="n">
        <v>0</v>
      </c>
      <c r="P339" s="33" t="n">
        <v>0</v>
      </c>
      <c r="Q339" s="33" t="n">
        <v>0</v>
      </c>
      <c r="R339" s="37" t="n">
        <v>0</v>
      </c>
      <c r="T339" s="49"/>
      <c r="U339" s="49"/>
      <c r="V339" s="49"/>
      <c r="W339" s="44"/>
    </row>
    <row r="340" s="42" customFormat="true" ht="33.75" hidden="false" customHeight="true" outlineLevel="0" collapsed="false">
      <c r="A340" s="64"/>
      <c r="B340" s="54"/>
      <c r="C340" s="31" t="s">
        <v>34</v>
      </c>
      <c r="D340" s="36"/>
      <c r="E340" s="36"/>
      <c r="F340" s="37" t="n">
        <v>0</v>
      </c>
      <c r="G340" s="37" t="n">
        <v>0</v>
      </c>
      <c r="H340" s="37" t="n">
        <v>0</v>
      </c>
      <c r="I340" s="37" t="n">
        <v>0</v>
      </c>
      <c r="J340" s="37" t="n">
        <v>0</v>
      </c>
      <c r="K340" s="37" t="n">
        <v>0</v>
      </c>
      <c r="L340" s="37" t="n">
        <v>0</v>
      </c>
      <c r="M340" s="37" t="n">
        <f aca="false">L340*104/100</f>
        <v>0</v>
      </c>
      <c r="N340" s="37" t="n">
        <v>0</v>
      </c>
      <c r="O340" s="33" t="n">
        <v>0</v>
      </c>
      <c r="P340" s="33" t="n">
        <v>0</v>
      </c>
      <c r="Q340" s="33" t="n">
        <v>0</v>
      </c>
      <c r="R340" s="37" t="n">
        <v>0</v>
      </c>
      <c r="T340" s="49"/>
      <c r="U340" s="49"/>
      <c r="V340" s="49"/>
      <c r="W340" s="44"/>
    </row>
    <row r="341" s="42" customFormat="true" ht="26.85" hidden="false" customHeight="true" outlineLevel="0" collapsed="false">
      <c r="A341" s="64"/>
      <c r="B341" s="54"/>
      <c r="C341" s="31" t="s">
        <v>35</v>
      </c>
      <c r="D341" s="36"/>
      <c r="E341" s="36"/>
      <c r="F341" s="37" t="n">
        <v>0</v>
      </c>
      <c r="G341" s="37" t="n">
        <v>0</v>
      </c>
      <c r="H341" s="37" t="n">
        <v>0</v>
      </c>
      <c r="I341" s="37" t="n">
        <v>0</v>
      </c>
      <c r="J341" s="37" t="n">
        <v>0</v>
      </c>
      <c r="K341" s="37" t="n">
        <v>0</v>
      </c>
      <c r="L341" s="37" t="n">
        <v>0</v>
      </c>
      <c r="M341" s="37" t="n">
        <f aca="false">L341*104/100</f>
        <v>0</v>
      </c>
      <c r="N341" s="37" t="n">
        <v>0</v>
      </c>
      <c r="O341" s="33" t="n">
        <v>0</v>
      </c>
      <c r="P341" s="33" t="n">
        <v>0</v>
      </c>
      <c r="Q341" s="33" t="n">
        <v>0</v>
      </c>
      <c r="R341" s="37" t="n">
        <v>0</v>
      </c>
      <c r="T341" s="49"/>
      <c r="U341" s="49"/>
      <c r="V341" s="49"/>
      <c r="W341" s="44"/>
    </row>
    <row r="342" s="42" customFormat="true" ht="76.5" hidden="false" customHeight="true" outlineLevel="0" collapsed="false">
      <c r="A342" s="64"/>
      <c r="B342" s="54"/>
      <c r="C342" s="31" t="s">
        <v>36</v>
      </c>
      <c r="D342" s="36"/>
      <c r="E342" s="36"/>
      <c r="F342" s="37" t="n">
        <v>0</v>
      </c>
      <c r="G342" s="37" t="n">
        <v>0</v>
      </c>
      <c r="H342" s="37" t="n">
        <v>0</v>
      </c>
      <c r="I342" s="37" t="n">
        <v>0</v>
      </c>
      <c r="J342" s="37" t="n">
        <v>0</v>
      </c>
      <c r="K342" s="37" t="n">
        <v>0</v>
      </c>
      <c r="L342" s="37" t="n">
        <v>0</v>
      </c>
      <c r="M342" s="37" t="n">
        <f aca="false">L342*104/100</f>
        <v>0</v>
      </c>
      <c r="N342" s="37" t="n">
        <v>0</v>
      </c>
      <c r="O342" s="33" t="n">
        <v>0</v>
      </c>
      <c r="P342" s="33" t="n">
        <v>0</v>
      </c>
      <c r="Q342" s="33" t="n">
        <v>0</v>
      </c>
      <c r="R342" s="37" t="n">
        <v>0</v>
      </c>
      <c r="T342" s="49"/>
      <c r="U342" s="49"/>
      <c r="V342" s="49"/>
      <c r="W342" s="44"/>
    </row>
    <row r="343" s="42" customFormat="true" ht="17.9" hidden="false" customHeight="true" outlineLevel="0" collapsed="false">
      <c r="A343" s="64" t="s">
        <v>137</v>
      </c>
      <c r="B343" s="54" t="s">
        <v>138</v>
      </c>
      <c r="C343" s="31" t="s">
        <v>30</v>
      </c>
      <c r="D343" s="36" t="s">
        <v>42</v>
      </c>
      <c r="E343" s="36" t="s">
        <v>115</v>
      </c>
      <c r="F343" s="37" t="n">
        <f aca="false">K343+L343+M343+N343+O343+P343+Q343+R343</f>
        <v>525</v>
      </c>
      <c r="G343" s="37" t="n">
        <v>0</v>
      </c>
      <c r="H343" s="37" t="n">
        <v>0</v>
      </c>
      <c r="I343" s="37" t="n">
        <v>0</v>
      </c>
      <c r="J343" s="37" t="n">
        <v>0</v>
      </c>
      <c r="K343" s="37" t="n">
        <f aca="false">SUM(K344:K349)</f>
        <v>0</v>
      </c>
      <c r="L343" s="37" t="n">
        <f aca="false">SUM(L344:L349)</f>
        <v>300</v>
      </c>
      <c r="M343" s="37" t="n">
        <f aca="false">SUM(M344:M349)</f>
        <v>225</v>
      </c>
      <c r="N343" s="37" t="n">
        <f aca="false">SUM(N344:N349)</f>
        <v>0</v>
      </c>
      <c r="O343" s="37" t="n">
        <f aca="false">SUM(O344:O349)</f>
        <v>0</v>
      </c>
      <c r="P343" s="37" t="n">
        <f aca="false">SUM(P344:P349)</f>
        <v>0</v>
      </c>
      <c r="Q343" s="37" t="n">
        <f aca="false">SUM(Q344:Q349)</f>
        <v>0</v>
      </c>
      <c r="R343" s="37" t="n">
        <f aca="false">SUM(R344:R349)</f>
        <v>0</v>
      </c>
      <c r="T343" s="49"/>
      <c r="U343" s="49"/>
      <c r="V343" s="49"/>
      <c r="W343" s="44"/>
    </row>
    <row r="344" s="42" customFormat="true" ht="33.75" hidden="false" customHeight="true" outlineLevel="0" collapsed="false">
      <c r="A344" s="64"/>
      <c r="B344" s="54"/>
      <c r="C344" s="31" t="s">
        <v>31</v>
      </c>
      <c r="D344" s="36"/>
      <c r="E344" s="36"/>
      <c r="F344" s="37" t="n">
        <f aca="false">K344+L344+M344+N344+O344+P344+Q344+R344</f>
        <v>0</v>
      </c>
      <c r="G344" s="37" t="n">
        <v>0</v>
      </c>
      <c r="H344" s="37" t="n">
        <v>0</v>
      </c>
      <c r="I344" s="37" t="n">
        <v>0</v>
      </c>
      <c r="J344" s="37" t="n">
        <v>0</v>
      </c>
      <c r="K344" s="37" t="n">
        <v>0</v>
      </c>
      <c r="L344" s="37" t="n">
        <v>0</v>
      </c>
      <c r="M344" s="37" t="n">
        <f aca="false">L344*104/100</f>
        <v>0</v>
      </c>
      <c r="N344" s="37" t="n">
        <v>0</v>
      </c>
      <c r="O344" s="33" t="n">
        <v>0</v>
      </c>
      <c r="P344" s="33" t="n">
        <v>0</v>
      </c>
      <c r="Q344" s="33" t="n">
        <v>0</v>
      </c>
      <c r="R344" s="37" t="n">
        <v>0</v>
      </c>
      <c r="T344" s="49"/>
      <c r="U344" s="49"/>
      <c r="V344" s="49"/>
      <c r="W344" s="44"/>
    </row>
    <row r="345" s="42" customFormat="true" ht="25.75" hidden="false" customHeight="true" outlineLevel="0" collapsed="false">
      <c r="A345" s="64"/>
      <c r="B345" s="54"/>
      <c r="C345" s="31" t="s">
        <v>32</v>
      </c>
      <c r="D345" s="36"/>
      <c r="E345" s="36"/>
      <c r="F345" s="37" t="n">
        <f aca="false">K345+L345+M345+N345+O345+P345+Q345+R345</f>
        <v>525</v>
      </c>
      <c r="G345" s="37" t="n">
        <v>0</v>
      </c>
      <c r="H345" s="37" t="n">
        <v>0</v>
      </c>
      <c r="I345" s="37" t="n">
        <v>0</v>
      </c>
      <c r="J345" s="37" t="n">
        <v>0</v>
      </c>
      <c r="K345" s="37" t="n">
        <v>0</v>
      </c>
      <c r="L345" s="37" t="n">
        <v>300</v>
      </c>
      <c r="M345" s="37" t="n">
        <v>225</v>
      </c>
      <c r="N345" s="37" t="n">
        <v>0</v>
      </c>
      <c r="O345" s="33" t="n">
        <v>0</v>
      </c>
      <c r="P345" s="33" t="n">
        <v>0</v>
      </c>
      <c r="Q345" s="33" t="n">
        <v>0</v>
      </c>
      <c r="R345" s="37" t="n">
        <v>0</v>
      </c>
      <c r="T345" s="49"/>
      <c r="U345" s="49"/>
      <c r="V345" s="49"/>
      <c r="W345" s="44"/>
    </row>
    <row r="346" s="42" customFormat="true" ht="29.85" hidden="false" customHeight="true" outlineLevel="0" collapsed="false">
      <c r="A346" s="64"/>
      <c r="B346" s="54"/>
      <c r="C346" s="31" t="s">
        <v>33</v>
      </c>
      <c r="D346" s="36"/>
      <c r="E346" s="36"/>
      <c r="F346" s="37" t="n">
        <f aca="false">K346+L346+M346+N346+O346+P346+Q346+R346</f>
        <v>0</v>
      </c>
      <c r="G346" s="37" t="n">
        <v>0</v>
      </c>
      <c r="H346" s="37" t="n">
        <v>0</v>
      </c>
      <c r="I346" s="37" t="n">
        <v>0</v>
      </c>
      <c r="J346" s="37" t="n">
        <v>0</v>
      </c>
      <c r="K346" s="37" t="n">
        <v>0</v>
      </c>
      <c r="L346" s="37" t="n">
        <v>0</v>
      </c>
      <c r="M346" s="37" t="n">
        <v>0</v>
      </c>
      <c r="N346" s="37" t="n">
        <v>0</v>
      </c>
      <c r="O346" s="33" t="n">
        <v>0</v>
      </c>
      <c r="P346" s="33" t="n">
        <v>0</v>
      </c>
      <c r="Q346" s="33" t="n">
        <v>0</v>
      </c>
      <c r="R346" s="37" t="n">
        <v>0</v>
      </c>
      <c r="T346" s="49"/>
      <c r="U346" s="49"/>
      <c r="V346" s="49"/>
      <c r="W346" s="44"/>
    </row>
    <row r="347" s="42" customFormat="true" ht="36.55" hidden="false" customHeight="true" outlineLevel="0" collapsed="false">
      <c r="A347" s="64"/>
      <c r="B347" s="54"/>
      <c r="C347" s="31" t="s">
        <v>34</v>
      </c>
      <c r="D347" s="36"/>
      <c r="E347" s="36"/>
      <c r="F347" s="37" t="n">
        <f aca="false">K347+L347+M347+N347+O347+P347+Q347+R347</f>
        <v>0</v>
      </c>
      <c r="G347" s="37" t="n">
        <v>0</v>
      </c>
      <c r="H347" s="37" t="n">
        <v>0</v>
      </c>
      <c r="I347" s="37" t="n">
        <v>0</v>
      </c>
      <c r="J347" s="37" t="n">
        <v>0</v>
      </c>
      <c r="K347" s="37" t="n">
        <v>0</v>
      </c>
      <c r="L347" s="37" t="n">
        <v>0</v>
      </c>
      <c r="M347" s="37" t="n">
        <v>0</v>
      </c>
      <c r="N347" s="37" t="n">
        <v>0</v>
      </c>
      <c r="O347" s="33" t="n">
        <v>0</v>
      </c>
      <c r="P347" s="33" t="n">
        <v>0</v>
      </c>
      <c r="Q347" s="33" t="n">
        <v>0</v>
      </c>
      <c r="R347" s="37" t="n">
        <v>0</v>
      </c>
      <c r="T347" s="49"/>
      <c r="U347" s="49"/>
      <c r="V347" s="49"/>
      <c r="W347" s="44"/>
    </row>
    <row r="348" s="42" customFormat="true" ht="25.35" hidden="false" customHeight="true" outlineLevel="0" collapsed="false">
      <c r="A348" s="64"/>
      <c r="B348" s="54"/>
      <c r="C348" s="31" t="s">
        <v>35</v>
      </c>
      <c r="D348" s="36"/>
      <c r="E348" s="36"/>
      <c r="F348" s="37" t="n">
        <f aca="false">K348+L348+M348+N348+O348+P348+Q348+R348</f>
        <v>0</v>
      </c>
      <c r="G348" s="37" t="n">
        <v>0</v>
      </c>
      <c r="H348" s="37" t="n">
        <v>0</v>
      </c>
      <c r="I348" s="37" t="n">
        <v>0</v>
      </c>
      <c r="J348" s="37" t="n">
        <v>0</v>
      </c>
      <c r="K348" s="37" t="n">
        <v>0</v>
      </c>
      <c r="L348" s="37" t="n">
        <v>0</v>
      </c>
      <c r="M348" s="37" t="n">
        <v>0</v>
      </c>
      <c r="N348" s="37" t="n">
        <v>0</v>
      </c>
      <c r="O348" s="33" t="n">
        <v>0</v>
      </c>
      <c r="P348" s="33" t="n">
        <v>0</v>
      </c>
      <c r="Q348" s="33" t="n">
        <v>0</v>
      </c>
      <c r="R348" s="37" t="n">
        <v>0</v>
      </c>
      <c r="T348" s="49"/>
      <c r="U348" s="49"/>
      <c r="V348" s="49"/>
      <c r="W348" s="44"/>
    </row>
    <row r="349" s="42" customFormat="true" ht="75.75" hidden="false" customHeight="true" outlineLevel="0" collapsed="false">
      <c r="A349" s="64"/>
      <c r="B349" s="54"/>
      <c r="C349" s="31" t="s">
        <v>36</v>
      </c>
      <c r="D349" s="36"/>
      <c r="E349" s="36"/>
      <c r="F349" s="37" t="n">
        <f aca="false">K349+L349+M349+N349+O349+P349+Q349+R349</f>
        <v>0</v>
      </c>
      <c r="G349" s="37" t="n">
        <v>0</v>
      </c>
      <c r="H349" s="37" t="n">
        <v>0</v>
      </c>
      <c r="I349" s="37" t="n">
        <v>0</v>
      </c>
      <c r="J349" s="37" t="n">
        <v>0</v>
      </c>
      <c r="K349" s="37" t="n">
        <v>0</v>
      </c>
      <c r="L349" s="37" t="n">
        <v>0</v>
      </c>
      <c r="M349" s="37" t="n">
        <v>0</v>
      </c>
      <c r="N349" s="37" t="n">
        <v>0</v>
      </c>
      <c r="O349" s="33" t="n">
        <v>0</v>
      </c>
      <c r="P349" s="33" t="n">
        <v>0</v>
      </c>
      <c r="Q349" s="33" t="n">
        <v>0</v>
      </c>
      <c r="R349" s="37" t="n">
        <v>0</v>
      </c>
      <c r="T349" s="49"/>
      <c r="U349" s="49"/>
      <c r="V349" s="49"/>
      <c r="W349" s="44"/>
    </row>
    <row r="350" s="42" customFormat="true" ht="15" hidden="false" customHeight="true" outlineLevel="0" collapsed="false">
      <c r="A350" s="40" t="s">
        <v>139</v>
      </c>
      <c r="B350" s="41" t="s">
        <v>140</v>
      </c>
      <c r="C350" s="31" t="s">
        <v>30</v>
      </c>
      <c r="D350" s="36" t="s">
        <v>42</v>
      </c>
      <c r="E350" s="36" t="s">
        <v>115</v>
      </c>
      <c r="F350" s="37" t="n">
        <f aca="false">K350+L350+M350+N350+O350+P350+Q350+R350</f>
        <v>0</v>
      </c>
      <c r="G350" s="37" t="n">
        <f aca="false">SUM(G352:G356)</f>
        <v>0</v>
      </c>
      <c r="H350" s="37" t="n">
        <f aca="false">SUM(H352:H356)</f>
        <v>0</v>
      </c>
      <c r="I350" s="37" t="n">
        <f aca="false">SUM(I352:I356)</f>
        <v>0</v>
      </c>
      <c r="J350" s="37" t="n">
        <f aca="false">SUM(J352:J356)</f>
        <v>0</v>
      </c>
      <c r="K350" s="37" t="n">
        <f aca="false">SUM(K352:K356)</f>
        <v>0</v>
      </c>
      <c r="L350" s="37" t="n">
        <f aca="false">SUM(L352:L356)</f>
        <v>0</v>
      </c>
      <c r="M350" s="37" t="n">
        <f aca="false">SUM(M352:M356)</f>
        <v>0</v>
      </c>
      <c r="N350" s="37" t="n">
        <f aca="false">SUM(N352:N356)</f>
        <v>0</v>
      </c>
      <c r="O350" s="37" t="n">
        <f aca="false">SUM(O351:O356)</f>
        <v>0</v>
      </c>
      <c r="P350" s="37" t="n">
        <f aca="false">SUM(P352:P356)</f>
        <v>0</v>
      </c>
      <c r="Q350" s="37" t="n">
        <f aca="false">SUM(Q352:Q356)</f>
        <v>0</v>
      </c>
      <c r="R350" s="37" t="n">
        <f aca="false">SUM(R352:R356)</f>
        <v>0</v>
      </c>
      <c r="T350" s="49"/>
      <c r="U350" s="49"/>
      <c r="V350" s="49"/>
      <c r="W350" s="44"/>
    </row>
    <row r="351" s="42" customFormat="true" ht="34.5" hidden="false" customHeight="true" outlineLevel="0" collapsed="false">
      <c r="A351" s="40"/>
      <c r="B351" s="41"/>
      <c r="C351" s="31" t="s">
        <v>31</v>
      </c>
      <c r="D351" s="36"/>
      <c r="E351" s="36"/>
      <c r="F351" s="37" t="n">
        <f aca="false">K351+L351+M351+N351+O351+P351+Q351+R351</f>
        <v>0</v>
      </c>
      <c r="G351" s="37" t="n">
        <v>0</v>
      </c>
      <c r="H351" s="37" t="n">
        <v>0</v>
      </c>
      <c r="I351" s="37" t="n">
        <v>0</v>
      </c>
      <c r="J351" s="37" t="n">
        <v>0</v>
      </c>
      <c r="K351" s="37" t="n">
        <v>0</v>
      </c>
      <c r="L351" s="37" t="n">
        <v>0</v>
      </c>
      <c r="M351" s="37" t="n">
        <v>0</v>
      </c>
      <c r="N351" s="37" t="n">
        <v>0</v>
      </c>
      <c r="O351" s="37" t="n">
        <f aca="false">O358</f>
        <v>0</v>
      </c>
      <c r="P351" s="37" t="n">
        <f aca="false">P358</f>
        <v>0</v>
      </c>
      <c r="Q351" s="37" t="n">
        <f aca="false">Q358</f>
        <v>0</v>
      </c>
      <c r="R351" s="37" t="n">
        <f aca="false">R358</f>
        <v>0</v>
      </c>
      <c r="T351" s="49"/>
      <c r="U351" s="49"/>
      <c r="V351" s="49"/>
      <c r="W351" s="44"/>
    </row>
    <row r="352" s="42" customFormat="true" ht="31.3" hidden="false" customHeight="true" outlineLevel="0" collapsed="false">
      <c r="A352" s="40"/>
      <c r="B352" s="41"/>
      <c r="C352" s="31" t="s">
        <v>32</v>
      </c>
      <c r="D352" s="36"/>
      <c r="E352" s="36"/>
      <c r="F352" s="37" t="n">
        <f aca="false">K352+L352+M352+N352+O352+P352+Q352+R352</f>
        <v>0</v>
      </c>
      <c r="G352" s="37" t="n">
        <v>0</v>
      </c>
      <c r="H352" s="37" t="n">
        <v>0</v>
      </c>
      <c r="I352" s="37" t="n">
        <v>0</v>
      </c>
      <c r="J352" s="37" t="n">
        <v>0</v>
      </c>
      <c r="K352" s="37" t="n">
        <v>0</v>
      </c>
      <c r="L352" s="37" t="n">
        <v>0</v>
      </c>
      <c r="M352" s="37" t="n">
        <v>0</v>
      </c>
      <c r="N352" s="37" t="n">
        <v>0</v>
      </c>
      <c r="O352" s="37" t="n">
        <v>0</v>
      </c>
      <c r="P352" s="37" t="n">
        <f aca="false">P359</f>
        <v>0</v>
      </c>
      <c r="Q352" s="37" t="n">
        <f aca="false">Q359</f>
        <v>0</v>
      </c>
      <c r="R352" s="37" t="n">
        <f aca="false">R359</f>
        <v>0</v>
      </c>
      <c r="T352" s="49"/>
      <c r="U352" s="49"/>
      <c r="V352" s="49"/>
      <c r="W352" s="44"/>
    </row>
    <row r="353" s="42" customFormat="true" ht="29.1" hidden="false" customHeight="true" outlineLevel="0" collapsed="false">
      <c r="A353" s="40"/>
      <c r="B353" s="41"/>
      <c r="C353" s="31" t="s">
        <v>33</v>
      </c>
      <c r="D353" s="36"/>
      <c r="E353" s="36"/>
      <c r="F353" s="37" t="n">
        <f aca="false">K353+L353+M353+N353+O353+P353+Q353+R353</f>
        <v>0</v>
      </c>
      <c r="G353" s="37" t="n">
        <v>0</v>
      </c>
      <c r="H353" s="37" t="n">
        <v>0</v>
      </c>
      <c r="I353" s="37" t="n">
        <v>0</v>
      </c>
      <c r="J353" s="37" t="n">
        <v>0</v>
      </c>
      <c r="K353" s="37" t="n">
        <v>0</v>
      </c>
      <c r="L353" s="37" t="n">
        <v>0</v>
      </c>
      <c r="M353" s="37" t="n">
        <v>0</v>
      </c>
      <c r="N353" s="37" t="n">
        <v>0</v>
      </c>
      <c r="O353" s="37" t="n">
        <f aca="false">O360</f>
        <v>0</v>
      </c>
      <c r="P353" s="37" t="n">
        <f aca="false">P360</f>
        <v>0</v>
      </c>
      <c r="Q353" s="37" t="n">
        <f aca="false">Q360</f>
        <v>0</v>
      </c>
      <c r="R353" s="37" t="n">
        <f aca="false">R360</f>
        <v>0</v>
      </c>
      <c r="T353" s="49"/>
      <c r="U353" s="49"/>
      <c r="V353" s="49"/>
      <c r="W353" s="44"/>
    </row>
    <row r="354" s="42" customFormat="true" ht="38.05" hidden="false" customHeight="true" outlineLevel="0" collapsed="false">
      <c r="A354" s="40"/>
      <c r="B354" s="41"/>
      <c r="C354" s="31" t="s">
        <v>34</v>
      </c>
      <c r="D354" s="36"/>
      <c r="E354" s="36"/>
      <c r="F354" s="37" t="n">
        <f aca="false">K354+L354+M354+N354+O354+P354+Q354+R354</f>
        <v>0</v>
      </c>
      <c r="G354" s="37" t="n">
        <v>0</v>
      </c>
      <c r="H354" s="37" t="n">
        <v>0</v>
      </c>
      <c r="I354" s="37" t="n">
        <v>0</v>
      </c>
      <c r="J354" s="37" t="n">
        <v>0</v>
      </c>
      <c r="K354" s="37" t="n">
        <v>0</v>
      </c>
      <c r="L354" s="37" t="n">
        <v>0</v>
      </c>
      <c r="M354" s="37" t="n">
        <v>0</v>
      </c>
      <c r="N354" s="37" t="n">
        <v>0</v>
      </c>
      <c r="O354" s="37" t="n">
        <f aca="false">O361</f>
        <v>0</v>
      </c>
      <c r="P354" s="37" t="n">
        <v>0</v>
      </c>
      <c r="Q354" s="37" t="n">
        <v>0</v>
      </c>
      <c r="R354" s="37" t="n">
        <v>0</v>
      </c>
      <c r="T354" s="49"/>
      <c r="U354" s="49"/>
      <c r="V354" s="49"/>
      <c r="W354" s="44"/>
    </row>
    <row r="355" s="42" customFormat="true" ht="28.35" hidden="false" customHeight="true" outlineLevel="0" collapsed="false">
      <c r="A355" s="40"/>
      <c r="B355" s="41"/>
      <c r="C355" s="31" t="s">
        <v>35</v>
      </c>
      <c r="D355" s="36"/>
      <c r="E355" s="36"/>
      <c r="F355" s="37" t="n">
        <f aca="false">K355+L355+M355+N355+O355+P355+Q355+R355</f>
        <v>0</v>
      </c>
      <c r="G355" s="37" t="n">
        <v>0</v>
      </c>
      <c r="H355" s="37" t="n">
        <v>0</v>
      </c>
      <c r="I355" s="37" t="n">
        <v>0</v>
      </c>
      <c r="J355" s="37" t="n">
        <v>0</v>
      </c>
      <c r="K355" s="37" t="n">
        <v>0</v>
      </c>
      <c r="L355" s="37" t="n">
        <v>0</v>
      </c>
      <c r="M355" s="37" t="n">
        <v>0</v>
      </c>
      <c r="N355" s="37" t="n">
        <v>0</v>
      </c>
      <c r="O355" s="37" t="n">
        <f aca="false">O362</f>
        <v>0</v>
      </c>
      <c r="P355" s="37" t="n">
        <v>0</v>
      </c>
      <c r="Q355" s="37" t="n">
        <v>0</v>
      </c>
      <c r="R355" s="37" t="n">
        <v>0</v>
      </c>
      <c r="T355" s="49"/>
      <c r="U355" s="49"/>
      <c r="V355" s="49"/>
      <c r="W355" s="44"/>
    </row>
    <row r="356" s="42" customFormat="true" ht="75.75" hidden="false" customHeight="true" outlineLevel="0" collapsed="false">
      <c r="A356" s="40"/>
      <c r="B356" s="41"/>
      <c r="C356" s="31" t="s">
        <v>36</v>
      </c>
      <c r="D356" s="36"/>
      <c r="E356" s="36"/>
      <c r="F356" s="37" t="n">
        <f aca="false">K356+L356+M356+N356+O356+P356+Q356+R356</f>
        <v>0</v>
      </c>
      <c r="G356" s="37" t="n">
        <v>0</v>
      </c>
      <c r="H356" s="37" t="n">
        <v>0</v>
      </c>
      <c r="I356" s="37" t="n">
        <v>0</v>
      </c>
      <c r="J356" s="37" t="n">
        <v>0</v>
      </c>
      <c r="K356" s="37" t="n">
        <v>0</v>
      </c>
      <c r="L356" s="37" t="n">
        <v>0</v>
      </c>
      <c r="M356" s="37" t="n">
        <v>0</v>
      </c>
      <c r="N356" s="37" t="n">
        <v>0</v>
      </c>
      <c r="O356" s="37" t="n">
        <f aca="false">O363</f>
        <v>0</v>
      </c>
      <c r="P356" s="37" t="n">
        <v>0</v>
      </c>
      <c r="Q356" s="37" t="n">
        <v>0</v>
      </c>
      <c r="R356" s="37" t="n">
        <v>0</v>
      </c>
      <c r="T356" s="49"/>
      <c r="U356" s="49"/>
      <c r="V356" s="49"/>
      <c r="W356" s="44"/>
    </row>
    <row r="357" s="42" customFormat="true" ht="17.9" hidden="false" customHeight="true" outlineLevel="0" collapsed="false">
      <c r="A357" s="40" t="s">
        <v>141</v>
      </c>
      <c r="B357" s="54" t="s">
        <v>142</v>
      </c>
      <c r="C357" s="31" t="s">
        <v>30</v>
      </c>
      <c r="D357" s="36" t="s">
        <v>42</v>
      </c>
      <c r="E357" s="36" t="s">
        <v>115</v>
      </c>
      <c r="F357" s="37" t="n">
        <f aca="false">SUM(F358:F363)</f>
        <v>0</v>
      </c>
      <c r="G357" s="37" t="n">
        <f aca="false">SUM(G358:G363)</f>
        <v>0</v>
      </c>
      <c r="H357" s="37" t="n">
        <f aca="false">SUM(H358:H363)</f>
        <v>0</v>
      </c>
      <c r="I357" s="37" t="n">
        <f aca="false">SUM(I358:I363)</f>
        <v>0</v>
      </c>
      <c r="J357" s="37" t="n">
        <f aca="false">SUM(J358:J363)</f>
        <v>0</v>
      </c>
      <c r="K357" s="37" t="n">
        <f aca="false">SUM(K358:K363)</f>
        <v>0</v>
      </c>
      <c r="L357" s="37" t="n">
        <f aca="false">SUM(L358:L363)</f>
        <v>0</v>
      </c>
      <c r="M357" s="37" t="n">
        <f aca="false">SUM(M358:M363)</f>
        <v>0</v>
      </c>
      <c r="N357" s="37" t="n">
        <f aca="false">SUM(N358:N363)</f>
        <v>0</v>
      </c>
      <c r="O357" s="37" t="n">
        <f aca="false">SUM(O358:O363)</f>
        <v>0</v>
      </c>
      <c r="P357" s="37" t="n">
        <f aca="false">SUM(P358:P363)</f>
        <v>0</v>
      </c>
      <c r="Q357" s="37" t="n">
        <f aca="false">SUM(Q358:Q363)</f>
        <v>0</v>
      </c>
      <c r="R357" s="37" t="n">
        <f aca="false">SUM(R358:R363)</f>
        <v>0</v>
      </c>
      <c r="T357" s="49"/>
      <c r="U357" s="49"/>
      <c r="V357" s="49"/>
      <c r="W357" s="44"/>
    </row>
    <row r="358" s="42" customFormat="true" ht="38.05" hidden="false" customHeight="true" outlineLevel="0" collapsed="false">
      <c r="A358" s="40"/>
      <c r="B358" s="54"/>
      <c r="C358" s="31" t="s">
        <v>31</v>
      </c>
      <c r="D358" s="36"/>
      <c r="E358" s="36"/>
      <c r="F358" s="37" t="n">
        <f aca="false">SUM(G358:R358)</f>
        <v>0</v>
      </c>
      <c r="G358" s="37" t="n">
        <v>0</v>
      </c>
      <c r="H358" s="37" t="n">
        <v>0</v>
      </c>
      <c r="I358" s="37" t="n">
        <v>0</v>
      </c>
      <c r="J358" s="37" t="n">
        <v>0</v>
      </c>
      <c r="K358" s="37" t="n">
        <v>0</v>
      </c>
      <c r="L358" s="37" t="n">
        <v>0</v>
      </c>
      <c r="M358" s="37" t="n">
        <v>0</v>
      </c>
      <c r="N358" s="37" t="n">
        <v>0</v>
      </c>
      <c r="O358" s="37" t="n">
        <v>0</v>
      </c>
      <c r="P358" s="37" t="n">
        <v>0</v>
      </c>
      <c r="Q358" s="37" t="n">
        <v>0</v>
      </c>
      <c r="R358" s="37" t="n">
        <v>0</v>
      </c>
      <c r="T358" s="49"/>
      <c r="U358" s="49"/>
      <c r="V358" s="49"/>
      <c r="W358" s="44"/>
    </row>
    <row r="359" s="42" customFormat="true" ht="26.85" hidden="false" customHeight="true" outlineLevel="0" collapsed="false">
      <c r="A359" s="40"/>
      <c r="B359" s="54"/>
      <c r="C359" s="31" t="s">
        <v>32</v>
      </c>
      <c r="D359" s="36"/>
      <c r="E359" s="36"/>
      <c r="F359" s="37" t="n">
        <f aca="false">SUM(G359:R359)</f>
        <v>0</v>
      </c>
      <c r="G359" s="37" t="n">
        <v>0</v>
      </c>
      <c r="H359" s="37" t="n">
        <v>0</v>
      </c>
      <c r="I359" s="37" t="n">
        <v>0</v>
      </c>
      <c r="J359" s="37" t="n">
        <v>0</v>
      </c>
      <c r="K359" s="37" t="n">
        <v>0</v>
      </c>
      <c r="L359" s="37" t="n">
        <v>0</v>
      </c>
      <c r="M359" s="37" t="n">
        <v>0</v>
      </c>
      <c r="N359" s="37" t="n">
        <v>0</v>
      </c>
      <c r="O359" s="37" t="n">
        <v>0</v>
      </c>
      <c r="P359" s="37" t="n">
        <v>0</v>
      </c>
      <c r="Q359" s="37" t="n">
        <v>0</v>
      </c>
      <c r="R359" s="37" t="n">
        <v>0</v>
      </c>
      <c r="T359" s="49"/>
      <c r="U359" s="49"/>
      <c r="V359" s="49"/>
      <c r="W359" s="44"/>
    </row>
    <row r="360" s="42" customFormat="true" ht="26.85" hidden="false" customHeight="true" outlineLevel="0" collapsed="false">
      <c r="A360" s="40"/>
      <c r="B360" s="54"/>
      <c r="C360" s="31" t="s">
        <v>33</v>
      </c>
      <c r="D360" s="36"/>
      <c r="E360" s="36"/>
      <c r="F360" s="37" t="n">
        <f aca="false">SUM(G360:R360)</f>
        <v>0</v>
      </c>
      <c r="G360" s="37" t="n">
        <v>0</v>
      </c>
      <c r="H360" s="37" t="n">
        <v>0</v>
      </c>
      <c r="I360" s="37" t="n">
        <v>0</v>
      </c>
      <c r="J360" s="37" t="n">
        <v>0</v>
      </c>
      <c r="K360" s="37" t="n">
        <v>0</v>
      </c>
      <c r="L360" s="37" t="n">
        <v>0</v>
      </c>
      <c r="M360" s="37" t="n">
        <v>0</v>
      </c>
      <c r="N360" s="37" t="n">
        <v>0</v>
      </c>
      <c r="O360" s="37" t="n">
        <v>0</v>
      </c>
      <c r="P360" s="37" t="n">
        <v>0</v>
      </c>
      <c r="Q360" s="37" t="n">
        <v>0</v>
      </c>
      <c r="R360" s="37" t="n">
        <v>0</v>
      </c>
      <c r="T360" s="49"/>
      <c r="U360" s="49"/>
      <c r="V360" s="49"/>
      <c r="W360" s="44"/>
    </row>
    <row r="361" s="42" customFormat="true" ht="39.75" hidden="false" customHeight="true" outlineLevel="0" collapsed="false">
      <c r="A361" s="40"/>
      <c r="B361" s="54"/>
      <c r="C361" s="31" t="s">
        <v>34</v>
      </c>
      <c r="D361" s="36"/>
      <c r="E361" s="36"/>
      <c r="F361" s="37" t="n">
        <f aca="false">SUM(G361:R361)</f>
        <v>0</v>
      </c>
      <c r="G361" s="37" t="n">
        <v>0</v>
      </c>
      <c r="H361" s="37" t="n">
        <v>0</v>
      </c>
      <c r="I361" s="37" t="n">
        <v>0</v>
      </c>
      <c r="J361" s="37" t="n">
        <v>0</v>
      </c>
      <c r="K361" s="37" t="n">
        <v>0</v>
      </c>
      <c r="L361" s="37" t="n">
        <v>0</v>
      </c>
      <c r="M361" s="37" t="n">
        <v>0</v>
      </c>
      <c r="N361" s="37" t="n">
        <v>0</v>
      </c>
      <c r="O361" s="37" t="n">
        <v>0</v>
      </c>
      <c r="P361" s="37" t="n">
        <v>0</v>
      </c>
      <c r="Q361" s="37" t="n">
        <v>0</v>
      </c>
      <c r="R361" s="37" t="n">
        <v>0</v>
      </c>
      <c r="T361" s="49"/>
      <c r="U361" s="49"/>
      <c r="V361" s="49"/>
      <c r="W361" s="44"/>
    </row>
    <row r="362" s="42" customFormat="true" ht="26.85" hidden="false" customHeight="true" outlineLevel="0" collapsed="false">
      <c r="A362" s="40"/>
      <c r="B362" s="54"/>
      <c r="C362" s="31" t="s">
        <v>35</v>
      </c>
      <c r="D362" s="36"/>
      <c r="E362" s="36"/>
      <c r="F362" s="37" t="n">
        <f aca="false">SUM(G362:R362)</f>
        <v>0</v>
      </c>
      <c r="G362" s="37" t="n">
        <v>0</v>
      </c>
      <c r="H362" s="37" t="n">
        <v>0</v>
      </c>
      <c r="I362" s="37" t="n">
        <v>0</v>
      </c>
      <c r="J362" s="37" t="n">
        <v>0</v>
      </c>
      <c r="K362" s="37" t="n">
        <v>0</v>
      </c>
      <c r="L362" s="37" t="n">
        <v>0</v>
      </c>
      <c r="M362" s="37" t="n">
        <v>0</v>
      </c>
      <c r="N362" s="37" t="n">
        <v>0</v>
      </c>
      <c r="O362" s="37" t="n">
        <v>0</v>
      </c>
      <c r="P362" s="37" t="n">
        <v>0</v>
      </c>
      <c r="Q362" s="37" t="n">
        <v>0</v>
      </c>
      <c r="R362" s="37" t="n">
        <v>0</v>
      </c>
      <c r="T362" s="49"/>
      <c r="U362" s="49"/>
      <c r="V362" s="49"/>
      <c r="W362" s="44"/>
    </row>
    <row r="363" s="42" customFormat="true" ht="74.25" hidden="false" customHeight="true" outlineLevel="0" collapsed="false">
      <c r="A363" s="40"/>
      <c r="B363" s="54"/>
      <c r="C363" s="31" t="s">
        <v>36</v>
      </c>
      <c r="D363" s="36"/>
      <c r="E363" s="36"/>
      <c r="F363" s="37" t="n">
        <f aca="false">SUM(G363:R363)</f>
        <v>0</v>
      </c>
      <c r="G363" s="37" t="n">
        <v>0</v>
      </c>
      <c r="H363" s="37" t="n">
        <v>0</v>
      </c>
      <c r="I363" s="37" t="n">
        <v>0</v>
      </c>
      <c r="J363" s="37" t="n">
        <v>0</v>
      </c>
      <c r="K363" s="37" t="n">
        <v>0</v>
      </c>
      <c r="L363" s="37" t="n">
        <v>0</v>
      </c>
      <c r="M363" s="37" t="n">
        <v>0</v>
      </c>
      <c r="N363" s="37" t="n">
        <v>0</v>
      </c>
      <c r="O363" s="37" t="n">
        <v>0</v>
      </c>
      <c r="P363" s="37" t="n">
        <v>0</v>
      </c>
      <c r="Q363" s="37" t="n">
        <v>0</v>
      </c>
      <c r="R363" s="37" t="n">
        <v>0</v>
      </c>
      <c r="T363" s="49"/>
      <c r="U363" s="49"/>
      <c r="V363" s="49"/>
      <c r="W363" s="44"/>
    </row>
    <row r="364" s="42" customFormat="true" ht="17.15" hidden="false" customHeight="true" outlineLevel="0" collapsed="false">
      <c r="A364" s="40" t="s">
        <v>143</v>
      </c>
      <c r="B364" s="41" t="s">
        <v>144</v>
      </c>
      <c r="C364" s="31" t="s">
        <v>30</v>
      </c>
      <c r="D364" s="36"/>
      <c r="E364" s="36"/>
      <c r="F364" s="37" t="n">
        <f aca="false">K364+L364+M364+N364+O364+P364+Q364+R364</f>
        <v>121750.07031</v>
      </c>
      <c r="G364" s="37" t="n">
        <f aca="false">SUM(G365:G370)</f>
        <v>0</v>
      </c>
      <c r="H364" s="37" t="n">
        <f aca="false">SUM(H365:H370)</f>
        <v>0</v>
      </c>
      <c r="I364" s="37" t="n">
        <f aca="false">SUM(I365:I370)</f>
        <v>0</v>
      </c>
      <c r="J364" s="37" t="n">
        <f aca="false">SUM(J365:J370)</f>
        <v>0</v>
      </c>
      <c r="K364" s="37" t="n">
        <f aca="false">SUM(K365:K370)</f>
        <v>0</v>
      </c>
      <c r="L364" s="37" t="n">
        <f aca="false">SUM(L365:L370)</f>
        <v>14217.13623</v>
      </c>
      <c r="M364" s="37" t="n">
        <f aca="false">SUM(M365:M370)</f>
        <v>10464.486</v>
      </c>
      <c r="N364" s="37" t="n">
        <f aca="false">SUM(N365:N370)</f>
        <v>16232.27</v>
      </c>
      <c r="O364" s="37" t="n">
        <f aca="false">SUM(O365:O370)</f>
        <v>48736.17808</v>
      </c>
      <c r="P364" s="37" t="n">
        <f aca="false">SUM(P365:P370)</f>
        <v>10700</v>
      </c>
      <c r="Q364" s="37" t="n">
        <f aca="false">SUM(Q365:Q370)</f>
        <v>10700</v>
      </c>
      <c r="R364" s="37" t="n">
        <f aca="false">SUM(R365:R370)</f>
        <v>10700</v>
      </c>
      <c r="T364" s="49"/>
      <c r="U364" s="49"/>
      <c r="V364" s="49"/>
      <c r="W364" s="44"/>
    </row>
    <row r="365" s="42" customFormat="true" ht="38.25" hidden="false" customHeight="true" outlineLevel="0" collapsed="false">
      <c r="A365" s="40"/>
      <c r="B365" s="41"/>
      <c r="C365" s="31" t="s">
        <v>31</v>
      </c>
      <c r="D365" s="36" t="s">
        <v>42</v>
      </c>
      <c r="E365" s="36" t="s">
        <v>115</v>
      </c>
      <c r="F365" s="37" t="n">
        <f aca="false">K365+L365+M365+N365+O365+P365+Q365+R365</f>
        <v>41058.3</v>
      </c>
      <c r="G365" s="37" t="n">
        <v>0</v>
      </c>
      <c r="H365" s="37" t="n">
        <v>0</v>
      </c>
      <c r="I365" s="37" t="n">
        <v>0</v>
      </c>
      <c r="J365" s="37" t="n">
        <v>0</v>
      </c>
      <c r="K365" s="37" t="n">
        <v>0</v>
      </c>
      <c r="L365" s="37" t="n">
        <v>0</v>
      </c>
      <c r="M365" s="37" t="n">
        <v>0</v>
      </c>
      <c r="N365" s="37" t="n">
        <v>0</v>
      </c>
      <c r="O365" s="37" t="n">
        <v>41058.3</v>
      </c>
      <c r="P365" s="37" t="n">
        <v>0</v>
      </c>
      <c r="Q365" s="37" t="n">
        <v>0</v>
      </c>
      <c r="R365" s="37" t="n">
        <v>0</v>
      </c>
      <c r="T365" s="49"/>
      <c r="U365" s="49"/>
      <c r="V365" s="49"/>
      <c r="W365" s="44"/>
    </row>
    <row r="366" s="42" customFormat="true" ht="26.1" hidden="false" customHeight="true" outlineLevel="0" collapsed="false">
      <c r="A366" s="40"/>
      <c r="B366" s="41"/>
      <c r="C366" s="31" t="s">
        <v>32</v>
      </c>
      <c r="D366" s="36" t="s">
        <v>42</v>
      </c>
      <c r="E366" s="36" t="s">
        <v>115</v>
      </c>
      <c r="F366" s="37" t="n">
        <f aca="false">K366+L366+M366+N366+O366+P366+Q366+R366</f>
        <v>56156.46426</v>
      </c>
      <c r="G366" s="37" t="n">
        <v>0</v>
      </c>
      <c r="H366" s="37" t="n">
        <v>0</v>
      </c>
      <c r="I366" s="37" t="n">
        <v>0</v>
      </c>
      <c r="J366" s="37" t="n">
        <v>0</v>
      </c>
      <c r="K366" s="37" t="n">
        <v>0</v>
      </c>
      <c r="L366" s="37" t="n">
        <v>6410</v>
      </c>
      <c r="M366" s="37" t="n">
        <v>3862</v>
      </c>
      <c r="N366" s="37" t="n">
        <v>7365.69418</v>
      </c>
      <c r="O366" s="37" t="n">
        <v>6418.77008</v>
      </c>
      <c r="P366" s="37" t="n">
        <v>10700</v>
      </c>
      <c r="Q366" s="37" t="n">
        <v>10700</v>
      </c>
      <c r="R366" s="37" t="n">
        <v>10700</v>
      </c>
      <c r="T366" s="49"/>
      <c r="U366" s="49"/>
      <c r="V366" s="49"/>
      <c r="W366" s="44"/>
    </row>
    <row r="367" s="42" customFormat="true" ht="28.35" hidden="false" customHeight="true" outlineLevel="0" collapsed="false">
      <c r="A367" s="40"/>
      <c r="B367" s="41"/>
      <c r="C367" s="31" t="s">
        <v>33</v>
      </c>
      <c r="D367" s="36"/>
      <c r="E367" s="36"/>
      <c r="F367" s="37" t="n">
        <f aca="false">K367+L367+M367+N367+O367+P367+Q367+R367</f>
        <v>0</v>
      </c>
      <c r="G367" s="37" t="n">
        <v>0</v>
      </c>
      <c r="H367" s="37" t="n">
        <v>0</v>
      </c>
      <c r="I367" s="37" t="n">
        <v>0</v>
      </c>
      <c r="J367" s="37" t="n">
        <v>0</v>
      </c>
      <c r="K367" s="37" t="n">
        <v>0</v>
      </c>
      <c r="L367" s="37" t="n">
        <v>0</v>
      </c>
      <c r="M367" s="37" t="n">
        <v>0</v>
      </c>
      <c r="N367" s="37" t="n">
        <v>0</v>
      </c>
      <c r="O367" s="37" t="n">
        <v>0</v>
      </c>
      <c r="P367" s="37" t="n">
        <v>0</v>
      </c>
      <c r="Q367" s="37" t="n">
        <v>0</v>
      </c>
      <c r="R367" s="37" t="n">
        <v>0</v>
      </c>
      <c r="T367" s="49"/>
      <c r="U367" s="49"/>
      <c r="V367" s="49"/>
      <c r="W367" s="44"/>
    </row>
    <row r="368" s="42" customFormat="true" ht="30.55" hidden="false" customHeight="true" outlineLevel="0" collapsed="false">
      <c r="A368" s="40"/>
      <c r="B368" s="41"/>
      <c r="C368" s="31" t="s">
        <v>32</v>
      </c>
      <c r="D368" s="36" t="s">
        <v>117</v>
      </c>
      <c r="E368" s="36" t="s">
        <v>115</v>
      </c>
      <c r="F368" s="37" t="n">
        <f aca="false">K368+L368+M368+N368+O368+P368+Q368+R368</f>
        <v>24535.30605</v>
      </c>
      <c r="G368" s="37" t="n">
        <v>0</v>
      </c>
      <c r="H368" s="37" t="n">
        <v>0</v>
      </c>
      <c r="I368" s="37" t="n">
        <v>0</v>
      </c>
      <c r="J368" s="37" t="n">
        <v>0</v>
      </c>
      <c r="K368" s="37" t="n">
        <v>0</v>
      </c>
      <c r="L368" s="37" t="n">
        <v>7807.13623</v>
      </c>
      <c r="M368" s="37" t="n">
        <v>6602.486</v>
      </c>
      <c r="N368" s="37" t="n">
        <v>8866.57582</v>
      </c>
      <c r="O368" s="37" t="n">
        <v>1259.108</v>
      </c>
      <c r="P368" s="37" t="n">
        <v>0</v>
      </c>
      <c r="Q368" s="37" t="n">
        <v>0</v>
      </c>
      <c r="R368" s="37" t="n">
        <v>0</v>
      </c>
      <c r="T368" s="49"/>
      <c r="U368" s="49"/>
      <c r="V368" s="49"/>
      <c r="W368" s="44"/>
    </row>
    <row r="369" s="42" customFormat="true" ht="29.1" hidden="false" customHeight="true" outlineLevel="0" collapsed="false">
      <c r="A369" s="40"/>
      <c r="B369" s="41"/>
      <c r="C369" s="31" t="s">
        <v>33</v>
      </c>
      <c r="D369" s="36"/>
      <c r="E369" s="36"/>
      <c r="F369" s="37" t="n">
        <f aca="false">K369+L369+M369+N369+O369+P369+Q369+R369</f>
        <v>0</v>
      </c>
      <c r="G369" s="37" t="n">
        <v>0</v>
      </c>
      <c r="H369" s="37" t="n">
        <v>0</v>
      </c>
      <c r="I369" s="37" t="n">
        <v>0</v>
      </c>
      <c r="J369" s="37" t="n">
        <v>0</v>
      </c>
      <c r="K369" s="37" t="n">
        <v>0</v>
      </c>
      <c r="L369" s="37" t="n">
        <v>0</v>
      </c>
      <c r="M369" s="37" t="n">
        <v>0</v>
      </c>
      <c r="N369" s="37" t="n">
        <v>0</v>
      </c>
      <c r="O369" s="37" t="n">
        <v>0</v>
      </c>
      <c r="P369" s="37" t="n">
        <v>0</v>
      </c>
      <c r="Q369" s="37" t="n">
        <v>0</v>
      </c>
      <c r="R369" s="37" t="n">
        <v>0</v>
      </c>
      <c r="T369" s="49"/>
      <c r="U369" s="49"/>
      <c r="V369" s="49"/>
      <c r="W369" s="44"/>
    </row>
    <row r="370" s="42" customFormat="true" ht="70.85" hidden="false" customHeight="true" outlineLevel="0" collapsed="false">
      <c r="A370" s="40"/>
      <c r="B370" s="41"/>
      <c r="C370" s="31" t="s">
        <v>36</v>
      </c>
      <c r="D370" s="36"/>
      <c r="E370" s="36"/>
      <c r="F370" s="37" t="n">
        <f aca="false">K370+L370+M370+N370+O370+P370+Q370+R370</f>
        <v>0</v>
      </c>
      <c r="G370" s="37" t="n">
        <v>0</v>
      </c>
      <c r="H370" s="37" t="n">
        <v>0</v>
      </c>
      <c r="I370" s="37" t="n">
        <v>0</v>
      </c>
      <c r="J370" s="37" t="n">
        <v>0</v>
      </c>
      <c r="K370" s="37" t="n">
        <v>0</v>
      </c>
      <c r="L370" s="37" t="n">
        <v>0</v>
      </c>
      <c r="M370" s="37" t="n">
        <v>0</v>
      </c>
      <c r="N370" s="37" t="n">
        <v>0</v>
      </c>
      <c r="O370" s="37" t="n">
        <v>0</v>
      </c>
      <c r="P370" s="37" t="n">
        <v>0</v>
      </c>
      <c r="Q370" s="37" t="n">
        <v>0</v>
      </c>
      <c r="R370" s="37" t="n">
        <v>0</v>
      </c>
      <c r="T370" s="49"/>
      <c r="U370" s="49"/>
      <c r="V370" s="49"/>
      <c r="W370" s="44"/>
    </row>
    <row r="371" s="42" customFormat="true" ht="19.4" hidden="false" customHeight="true" outlineLevel="0" collapsed="false">
      <c r="A371" s="40" t="s">
        <v>145</v>
      </c>
      <c r="B371" s="54" t="s">
        <v>146</v>
      </c>
      <c r="C371" s="31" t="s">
        <v>30</v>
      </c>
      <c r="D371" s="36" t="s">
        <v>42</v>
      </c>
      <c r="E371" s="36" t="s">
        <v>115</v>
      </c>
      <c r="F371" s="37" t="n">
        <f aca="false">K371+L371+M371+N371+O371+P371+Q371+R371</f>
        <v>0</v>
      </c>
      <c r="G371" s="37" t="n">
        <f aca="false">SUM(G372:G377)</f>
        <v>0</v>
      </c>
      <c r="H371" s="37" t="n">
        <f aca="false">SUM(H372:H377)</f>
        <v>0</v>
      </c>
      <c r="I371" s="37" t="n">
        <f aca="false">SUM(I372:I377)</f>
        <v>0</v>
      </c>
      <c r="J371" s="37" t="n">
        <f aca="false">SUM(J372:J377)</f>
        <v>0</v>
      </c>
      <c r="K371" s="37" t="n">
        <f aca="false">SUM(K372:K377)</f>
        <v>0</v>
      </c>
      <c r="L371" s="37" t="n">
        <f aca="false">SUM(L372:L377)</f>
        <v>0</v>
      </c>
      <c r="M371" s="37" t="n">
        <f aca="false">SUM(M372:M377)</f>
        <v>0</v>
      </c>
      <c r="N371" s="37" t="n">
        <f aca="false">SUM(N372:N377)</f>
        <v>0</v>
      </c>
      <c r="O371" s="37" t="n">
        <f aca="false">SUM(O372:O377)</f>
        <v>0</v>
      </c>
      <c r="P371" s="37" t="n">
        <f aca="false">SUM(P372:P377)</f>
        <v>0</v>
      </c>
      <c r="Q371" s="37" t="n">
        <f aca="false">SUM(Q372:Q377)</f>
        <v>0</v>
      </c>
      <c r="R371" s="37" t="n">
        <f aca="false">SUM(R372:R377)</f>
        <v>0</v>
      </c>
      <c r="T371" s="49"/>
      <c r="U371" s="49"/>
      <c r="V371" s="49"/>
      <c r="W371" s="44"/>
    </row>
    <row r="372" s="42" customFormat="true" ht="36.55" hidden="false" customHeight="true" outlineLevel="0" collapsed="false">
      <c r="A372" s="40"/>
      <c r="B372" s="54"/>
      <c r="C372" s="31" t="s">
        <v>31</v>
      </c>
      <c r="D372" s="36"/>
      <c r="E372" s="36"/>
      <c r="F372" s="37" t="n">
        <f aca="false">K372+L372+M372+N372+O372+P372+Q372+R372</f>
        <v>0</v>
      </c>
      <c r="G372" s="37" t="n">
        <v>0</v>
      </c>
      <c r="H372" s="37" t="n">
        <v>0</v>
      </c>
      <c r="I372" s="37" t="n">
        <v>0</v>
      </c>
      <c r="J372" s="37" t="n">
        <v>0</v>
      </c>
      <c r="K372" s="37" t="n">
        <v>0</v>
      </c>
      <c r="L372" s="37" t="n">
        <v>0</v>
      </c>
      <c r="M372" s="37" t="n">
        <v>0</v>
      </c>
      <c r="N372" s="37" t="n">
        <v>0</v>
      </c>
      <c r="O372" s="37" t="n">
        <v>0</v>
      </c>
      <c r="P372" s="37" t="n">
        <v>0</v>
      </c>
      <c r="Q372" s="37" t="n">
        <v>0</v>
      </c>
      <c r="R372" s="37" t="n">
        <v>0</v>
      </c>
      <c r="T372" s="49"/>
      <c r="U372" s="49"/>
      <c r="V372" s="49"/>
      <c r="W372" s="44"/>
    </row>
    <row r="373" s="42" customFormat="true" ht="26.1" hidden="false" customHeight="true" outlineLevel="0" collapsed="false">
      <c r="A373" s="40"/>
      <c r="B373" s="54"/>
      <c r="C373" s="31" t="s">
        <v>32</v>
      </c>
      <c r="D373" s="36"/>
      <c r="E373" s="36"/>
      <c r="F373" s="37" t="n">
        <f aca="false">K373+L373+M373+N373+O373+P373+Q373+R373</f>
        <v>0</v>
      </c>
      <c r="G373" s="37" t="n">
        <v>0</v>
      </c>
      <c r="H373" s="37" t="n">
        <v>0</v>
      </c>
      <c r="I373" s="37" t="n">
        <v>0</v>
      </c>
      <c r="J373" s="37" t="n">
        <v>0</v>
      </c>
      <c r="K373" s="37" t="n">
        <v>0</v>
      </c>
      <c r="L373" s="37" t="n">
        <v>0</v>
      </c>
      <c r="M373" s="37" t="n">
        <v>0</v>
      </c>
      <c r="N373" s="37" t="n">
        <v>0</v>
      </c>
      <c r="O373" s="37" t="n">
        <v>0</v>
      </c>
      <c r="P373" s="37" t="n">
        <v>0</v>
      </c>
      <c r="Q373" s="37" t="n">
        <v>0</v>
      </c>
      <c r="R373" s="37" t="n">
        <v>0</v>
      </c>
      <c r="T373" s="49"/>
      <c r="U373" s="49"/>
      <c r="V373" s="49"/>
      <c r="W373" s="44"/>
    </row>
    <row r="374" s="42" customFormat="true" ht="24.6" hidden="false" customHeight="true" outlineLevel="0" collapsed="false">
      <c r="A374" s="40"/>
      <c r="B374" s="54"/>
      <c r="C374" s="31" t="s">
        <v>33</v>
      </c>
      <c r="D374" s="36"/>
      <c r="E374" s="36"/>
      <c r="F374" s="37" t="n">
        <f aca="false">K374+L374+M374+N374+O374+P374+Q374+R374</f>
        <v>0</v>
      </c>
      <c r="G374" s="37" t="n">
        <v>0</v>
      </c>
      <c r="H374" s="37" t="n">
        <v>0</v>
      </c>
      <c r="I374" s="37" t="n">
        <v>0</v>
      </c>
      <c r="J374" s="37" t="n">
        <v>0</v>
      </c>
      <c r="K374" s="37" t="n">
        <v>0</v>
      </c>
      <c r="L374" s="37" t="n">
        <v>0</v>
      </c>
      <c r="M374" s="37" t="n">
        <v>0</v>
      </c>
      <c r="N374" s="37" t="n">
        <v>0</v>
      </c>
      <c r="O374" s="37" t="n">
        <v>0</v>
      </c>
      <c r="P374" s="37" t="n">
        <v>0</v>
      </c>
      <c r="Q374" s="37" t="n">
        <v>0</v>
      </c>
      <c r="R374" s="37" t="n">
        <v>0</v>
      </c>
      <c r="T374" s="49"/>
      <c r="U374" s="49"/>
      <c r="V374" s="49"/>
      <c r="W374" s="44"/>
    </row>
    <row r="375" s="42" customFormat="true" ht="38.8" hidden="false" customHeight="true" outlineLevel="0" collapsed="false">
      <c r="A375" s="40"/>
      <c r="B375" s="54"/>
      <c r="C375" s="31" t="s">
        <v>34</v>
      </c>
      <c r="D375" s="36"/>
      <c r="E375" s="36"/>
      <c r="F375" s="37" t="n">
        <f aca="false">K375+L375+M375+N375+O375+P375+Q375+R375</f>
        <v>0</v>
      </c>
      <c r="G375" s="37" t="n">
        <v>0</v>
      </c>
      <c r="H375" s="37" t="n">
        <v>0</v>
      </c>
      <c r="I375" s="37" t="n">
        <v>0</v>
      </c>
      <c r="J375" s="37" t="n">
        <v>0</v>
      </c>
      <c r="K375" s="37" t="n">
        <v>0</v>
      </c>
      <c r="L375" s="37" t="n">
        <v>0</v>
      </c>
      <c r="M375" s="37" t="n">
        <v>0</v>
      </c>
      <c r="N375" s="37" t="n">
        <v>0</v>
      </c>
      <c r="O375" s="37" t="n">
        <v>0</v>
      </c>
      <c r="P375" s="37" t="n">
        <v>0</v>
      </c>
      <c r="Q375" s="37" t="n">
        <v>0</v>
      </c>
      <c r="R375" s="37" t="n">
        <v>0</v>
      </c>
      <c r="T375" s="49"/>
      <c r="U375" s="49"/>
      <c r="V375" s="49"/>
      <c r="W375" s="44"/>
    </row>
    <row r="376" s="42" customFormat="true" ht="26.85" hidden="false" customHeight="true" outlineLevel="0" collapsed="false">
      <c r="A376" s="40"/>
      <c r="B376" s="54"/>
      <c r="C376" s="31" t="s">
        <v>35</v>
      </c>
      <c r="D376" s="36"/>
      <c r="E376" s="36"/>
      <c r="F376" s="37" t="n">
        <f aca="false">K376+L376+M376+N376+O376+P376+Q376+R376</f>
        <v>0</v>
      </c>
      <c r="G376" s="37" t="n">
        <v>0</v>
      </c>
      <c r="H376" s="37" t="n">
        <v>0</v>
      </c>
      <c r="I376" s="37" t="n">
        <v>0</v>
      </c>
      <c r="J376" s="37" t="n">
        <v>0</v>
      </c>
      <c r="K376" s="37" t="n">
        <v>0</v>
      </c>
      <c r="L376" s="37" t="n">
        <v>0</v>
      </c>
      <c r="M376" s="37" t="n">
        <v>0</v>
      </c>
      <c r="N376" s="37" t="n">
        <v>0</v>
      </c>
      <c r="O376" s="37" t="n">
        <v>0</v>
      </c>
      <c r="P376" s="37" t="n">
        <v>0</v>
      </c>
      <c r="Q376" s="37" t="n">
        <v>0</v>
      </c>
      <c r="R376" s="37" t="n">
        <v>0</v>
      </c>
      <c r="T376" s="49"/>
      <c r="U376" s="49"/>
      <c r="V376" s="49"/>
      <c r="W376" s="44"/>
    </row>
    <row r="377" s="42" customFormat="true" ht="74.6" hidden="false" customHeight="true" outlineLevel="0" collapsed="false">
      <c r="A377" s="40"/>
      <c r="B377" s="54"/>
      <c r="C377" s="31" t="s">
        <v>36</v>
      </c>
      <c r="D377" s="36"/>
      <c r="E377" s="36"/>
      <c r="F377" s="37" t="n">
        <f aca="false">K377+L377+M377+N377+O377+P377+Q377+R377</f>
        <v>0</v>
      </c>
      <c r="G377" s="37" t="n">
        <v>0</v>
      </c>
      <c r="H377" s="37" t="n">
        <v>0</v>
      </c>
      <c r="I377" s="37" t="n">
        <v>0</v>
      </c>
      <c r="J377" s="37" t="n">
        <v>0</v>
      </c>
      <c r="K377" s="37" t="n">
        <v>0</v>
      </c>
      <c r="L377" s="37" t="n">
        <v>0</v>
      </c>
      <c r="M377" s="37" t="n">
        <v>0</v>
      </c>
      <c r="N377" s="37" t="n">
        <v>0</v>
      </c>
      <c r="O377" s="37" t="n">
        <v>0</v>
      </c>
      <c r="P377" s="37" t="n">
        <v>0</v>
      </c>
      <c r="Q377" s="37" t="n">
        <v>0</v>
      </c>
      <c r="R377" s="37" t="n">
        <v>0</v>
      </c>
      <c r="T377" s="49"/>
      <c r="U377" s="49"/>
      <c r="V377" s="49"/>
      <c r="W377" s="44"/>
    </row>
    <row r="378" s="42" customFormat="true" ht="18.65" hidden="false" customHeight="true" outlineLevel="0" collapsed="false">
      <c r="A378" s="40" t="s">
        <v>147</v>
      </c>
      <c r="B378" s="73" t="s">
        <v>148</v>
      </c>
      <c r="C378" s="31" t="s">
        <v>30</v>
      </c>
      <c r="D378" s="36" t="s">
        <v>42</v>
      </c>
      <c r="E378" s="36" t="s">
        <v>149</v>
      </c>
      <c r="F378" s="37" t="n">
        <f aca="false">G378+H378+I378+J378+K378+L378+M378+N378+O378+P378+Q378+R378</f>
        <v>31595.24906</v>
      </c>
      <c r="G378" s="37" t="n">
        <f aca="false">SUM(G379:G384)</f>
        <v>0</v>
      </c>
      <c r="H378" s="37" t="n">
        <f aca="false">SUM(H379:H384)</f>
        <v>0</v>
      </c>
      <c r="I378" s="37" t="n">
        <f aca="false">SUM(I379:I384)</f>
        <v>0</v>
      </c>
      <c r="J378" s="37" t="n">
        <f aca="false">SUM(J379:J384)</f>
        <v>0</v>
      </c>
      <c r="K378" s="37" t="n">
        <f aca="false">SUM(K379:K384)</f>
        <v>0</v>
      </c>
      <c r="L378" s="37" t="n">
        <f aca="false">SUM(L379:L384)</f>
        <v>0</v>
      </c>
      <c r="M378" s="37" t="n">
        <f aca="false">SUM(M379:M384)</f>
        <v>0</v>
      </c>
      <c r="N378" s="37" t="n">
        <f aca="false">SUM(N379:N384)</f>
        <v>0</v>
      </c>
      <c r="O378" s="37" t="n">
        <f aca="false">SUM(O379:O384)</f>
        <v>2066.37206</v>
      </c>
      <c r="P378" s="37" t="n">
        <f aca="false">SUM(P379:P384)</f>
        <v>9842.959</v>
      </c>
      <c r="Q378" s="37" t="n">
        <f aca="false">SUM(Q379:Q384)</f>
        <v>9842.959</v>
      </c>
      <c r="R378" s="37" t="n">
        <f aca="false">SUM(R379:R384)</f>
        <v>9842.959</v>
      </c>
      <c r="T378" s="49"/>
      <c r="U378" s="49"/>
      <c r="V378" s="49"/>
      <c r="W378" s="44"/>
    </row>
    <row r="379" s="42" customFormat="true" ht="36.75" hidden="false" customHeight="true" outlineLevel="0" collapsed="false">
      <c r="A379" s="40"/>
      <c r="B379" s="73"/>
      <c r="C379" s="31" t="s">
        <v>31</v>
      </c>
      <c r="D379" s="36"/>
      <c r="E379" s="36"/>
      <c r="F379" s="37" t="n">
        <f aca="false">G379+H379+I379+J379+K379+L379+M379+N379+O379+P379+Q379+R379</f>
        <v>0</v>
      </c>
      <c r="G379" s="37" t="n">
        <v>0</v>
      </c>
      <c r="H379" s="37" t="n">
        <v>0</v>
      </c>
      <c r="I379" s="37" t="n">
        <v>0</v>
      </c>
      <c r="J379" s="37" t="n">
        <v>0</v>
      </c>
      <c r="K379" s="37" t="n">
        <v>0</v>
      </c>
      <c r="L379" s="37" t="n">
        <v>0</v>
      </c>
      <c r="M379" s="37" t="n">
        <v>0</v>
      </c>
      <c r="N379" s="37" t="n">
        <v>0</v>
      </c>
      <c r="O379" s="37" t="n">
        <v>0</v>
      </c>
      <c r="P379" s="37" t="n">
        <v>0</v>
      </c>
      <c r="Q379" s="37" t="n">
        <v>0</v>
      </c>
      <c r="R379" s="37" t="n">
        <v>0</v>
      </c>
      <c r="T379" s="49"/>
      <c r="U379" s="49"/>
      <c r="V379" s="49"/>
      <c r="W379" s="44"/>
    </row>
    <row r="380" s="42" customFormat="true" ht="26.85" hidden="false" customHeight="true" outlineLevel="0" collapsed="false">
      <c r="A380" s="56"/>
      <c r="B380" s="54" t="s">
        <v>150</v>
      </c>
      <c r="C380" s="31" t="s">
        <v>32</v>
      </c>
      <c r="D380" s="36"/>
      <c r="E380" s="36"/>
      <c r="F380" s="37" t="n">
        <f aca="false">G380+H380+I380+J380+K380+L380+M380+N380+O380+P380+Q380+R380</f>
        <v>31595.24906</v>
      </c>
      <c r="G380" s="37" t="n">
        <v>0</v>
      </c>
      <c r="H380" s="37" t="n">
        <v>0</v>
      </c>
      <c r="I380" s="37" t="n">
        <v>0</v>
      </c>
      <c r="J380" s="37" t="n">
        <v>0</v>
      </c>
      <c r="K380" s="37" t="n">
        <v>0</v>
      </c>
      <c r="L380" s="37" t="n">
        <v>0</v>
      </c>
      <c r="M380" s="37" t="n">
        <v>0</v>
      </c>
      <c r="N380" s="37" t="n">
        <v>0</v>
      </c>
      <c r="O380" s="37" t="n">
        <v>2066.37206</v>
      </c>
      <c r="P380" s="37" t="n">
        <v>9842.959</v>
      </c>
      <c r="Q380" s="37" t="n">
        <v>9842.959</v>
      </c>
      <c r="R380" s="37" t="n">
        <v>9842.959</v>
      </c>
      <c r="T380" s="49"/>
      <c r="U380" s="49"/>
      <c r="V380" s="49"/>
      <c r="W380" s="44"/>
    </row>
    <row r="381" s="42" customFormat="true" ht="27.6" hidden="false" customHeight="true" outlineLevel="0" collapsed="false">
      <c r="A381" s="58"/>
      <c r="B381" s="54"/>
      <c r="C381" s="31" t="s">
        <v>33</v>
      </c>
      <c r="D381" s="36"/>
      <c r="E381" s="36"/>
      <c r="F381" s="37" t="n">
        <f aca="false">G381+H381+I381+J381+K381+L381+M381+N381+O381+P381+Q381+R381</f>
        <v>0</v>
      </c>
      <c r="G381" s="37" t="n">
        <v>0</v>
      </c>
      <c r="H381" s="37" t="n">
        <v>0</v>
      </c>
      <c r="I381" s="37" t="n">
        <v>0</v>
      </c>
      <c r="J381" s="37" t="n">
        <v>0</v>
      </c>
      <c r="K381" s="37" t="n">
        <v>0</v>
      </c>
      <c r="L381" s="37" t="n">
        <v>0</v>
      </c>
      <c r="M381" s="37" t="n">
        <v>0</v>
      </c>
      <c r="N381" s="37" t="n">
        <v>0</v>
      </c>
      <c r="O381" s="37" t="n">
        <v>0</v>
      </c>
      <c r="P381" s="37" t="n">
        <v>0</v>
      </c>
      <c r="Q381" s="37" t="n">
        <v>0</v>
      </c>
      <c r="R381" s="37" t="n">
        <v>0</v>
      </c>
      <c r="T381" s="49"/>
      <c r="U381" s="49"/>
      <c r="V381" s="49"/>
      <c r="W381" s="44"/>
    </row>
    <row r="382" s="42" customFormat="true" ht="37.3" hidden="false" customHeight="true" outlineLevel="0" collapsed="false">
      <c r="A382" s="58"/>
      <c r="B382" s="54"/>
      <c r="C382" s="31" t="s">
        <v>34</v>
      </c>
      <c r="D382" s="36"/>
      <c r="E382" s="36"/>
      <c r="F382" s="37" t="n">
        <f aca="false">G382+H382+I382+J382+K382+L382+M382+N382+O382+P382+Q382+R382</f>
        <v>0</v>
      </c>
      <c r="G382" s="37" t="n">
        <v>0</v>
      </c>
      <c r="H382" s="37" t="n">
        <v>0</v>
      </c>
      <c r="I382" s="37" t="n">
        <v>0</v>
      </c>
      <c r="J382" s="37" t="n">
        <v>0</v>
      </c>
      <c r="K382" s="37" t="n">
        <v>0</v>
      </c>
      <c r="L382" s="37" t="n">
        <v>0</v>
      </c>
      <c r="M382" s="37" t="n">
        <v>0</v>
      </c>
      <c r="N382" s="37" t="n">
        <v>0</v>
      </c>
      <c r="O382" s="37" t="n">
        <v>0</v>
      </c>
      <c r="P382" s="37" t="n">
        <v>0</v>
      </c>
      <c r="Q382" s="37" t="n">
        <v>0</v>
      </c>
      <c r="R382" s="37" t="n">
        <v>0</v>
      </c>
      <c r="T382" s="49"/>
      <c r="U382" s="49"/>
      <c r="V382" s="49"/>
      <c r="W382" s="44"/>
    </row>
    <row r="383" s="42" customFormat="true" ht="28.35" hidden="false" customHeight="true" outlineLevel="0" collapsed="false">
      <c r="A383" s="58"/>
      <c r="B383" s="54"/>
      <c r="C383" s="31" t="s">
        <v>35</v>
      </c>
      <c r="D383" s="36"/>
      <c r="E383" s="36"/>
      <c r="F383" s="37" t="n">
        <f aca="false">G383+H383+I383+J383+K383+L383+M383+N383+O383+P383+Q383+R383</f>
        <v>0</v>
      </c>
      <c r="G383" s="37" t="n">
        <v>0</v>
      </c>
      <c r="H383" s="37" t="n">
        <v>0</v>
      </c>
      <c r="I383" s="37" t="n">
        <v>0</v>
      </c>
      <c r="J383" s="37" t="n">
        <v>0</v>
      </c>
      <c r="K383" s="37" t="n">
        <v>0</v>
      </c>
      <c r="L383" s="37" t="n">
        <v>0</v>
      </c>
      <c r="M383" s="37" t="n">
        <v>0</v>
      </c>
      <c r="N383" s="37" t="n">
        <v>0</v>
      </c>
      <c r="O383" s="37" t="n">
        <v>0</v>
      </c>
      <c r="P383" s="37" t="n">
        <v>0</v>
      </c>
      <c r="Q383" s="37" t="n">
        <v>0</v>
      </c>
      <c r="R383" s="37" t="n">
        <v>0</v>
      </c>
      <c r="T383" s="49"/>
      <c r="U383" s="49"/>
      <c r="V383" s="49"/>
      <c r="W383" s="44"/>
    </row>
    <row r="384" s="42" customFormat="true" ht="76.5" hidden="false" customHeight="true" outlineLevel="0" collapsed="false">
      <c r="A384" s="60"/>
      <c r="B384" s="54"/>
      <c r="C384" s="31" t="s">
        <v>36</v>
      </c>
      <c r="D384" s="36"/>
      <c r="E384" s="36"/>
      <c r="F384" s="37" t="n">
        <f aca="false">G384+H384+I384+J384+K384+L384+M384+N384+O384+P384+Q384+R384</f>
        <v>0</v>
      </c>
      <c r="G384" s="37" t="n">
        <v>0</v>
      </c>
      <c r="H384" s="37" t="n">
        <v>0</v>
      </c>
      <c r="I384" s="37" t="n">
        <v>0</v>
      </c>
      <c r="J384" s="37" t="n">
        <v>0</v>
      </c>
      <c r="K384" s="37" t="n">
        <v>0</v>
      </c>
      <c r="L384" s="37" t="n">
        <v>0</v>
      </c>
      <c r="M384" s="37" t="n">
        <v>0</v>
      </c>
      <c r="N384" s="37" t="n">
        <v>0</v>
      </c>
      <c r="O384" s="37" t="n">
        <v>0</v>
      </c>
      <c r="P384" s="37" t="n">
        <v>0</v>
      </c>
      <c r="Q384" s="37" t="n">
        <v>0</v>
      </c>
      <c r="R384" s="37" t="n">
        <v>0</v>
      </c>
      <c r="T384" s="49"/>
      <c r="U384" s="49"/>
      <c r="V384" s="49"/>
      <c r="W384" s="44"/>
    </row>
    <row r="385" s="42" customFormat="true" ht="18.65" hidden="false" customHeight="true" outlineLevel="0" collapsed="false">
      <c r="A385" s="64" t="s">
        <v>151</v>
      </c>
      <c r="B385" s="54" t="s">
        <v>152</v>
      </c>
      <c r="C385" s="31" t="s">
        <v>30</v>
      </c>
      <c r="D385" s="36" t="s">
        <v>42</v>
      </c>
      <c r="E385" s="36" t="s">
        <v>153</v>
      </c>
      <c r="F385" s="37" t="n">
        <f aca="false">F386+F387+F388+F389+F390+F391</f>
        <v>23195.89</v>
      </c>
      <c r="G385" s="37" t="n">
        <f aca="false">G386+G387+G388+G389+G390+G391</f>
        <v>0</v>
      </c>
      <c r="H385" s="37" t="n">
        <f aca="false">H386+H387+H388+H389+H390+H391</f>
        <v>0</v>
      </c>
      <c r="I385" s="37" t="n">
        <f aca="false">I386+I387+I388+I389+I390+I391</f>
        <v>0</v>
      </c>
      <c r="J385" s="37" t="n">
        <f aca="false">J386+J387+J388+J389+J390+J391</f>
        <v>0</v>
      </c>
      <c r="K385" s="37" t="n">
        <f aca="false">K386+K387+K388+K389+K390+K391</f>
        <v>0</v>
      </c>
      <c r="L385" s="37" t="n">
        <f aca="false">L386+L387+L388+L389+L390+L391</f>
        <v>0</v>
      </c>
      <c r="M385" s="37" t="n">
        <f aca="false">M386+M387+M388+M389+M390+M391</f>
        <v>0</v>
      </c>
      <c r="N385" s="37" t="n">
        <f aca="false">N386+N387+N388+N389+N390+N391</f>
        <v>0</v>
      </c>
      <c r="O385" s="37" t="n">
        <f aca="false">O386+O387+O388+O389+O390+O391</f>
        <v>0</v>
      </c>
      <c r="P385" s="37" t="n">
        <f aca="false">P386+P387+P388+P389+P390+P391</f>
        <v>23195.89</v>
      </c>
      <c r="Q385" s="37" t="n">
        <f aca="false">Q386+Q387+Q388+Q389+Q390+Q391</f>
        <v>0</v>
      </c>
      <c r="R385" s="37" t="n">
        <f aca="false">R386+R387+R388+R389+R390+R391</f>
        <v>0</v>
      </c>
      <c r="S385" s="53"/>
      <c r="T385" s="74"/>
      <c r="U385" s="74"/>
      <c r="V385" s="74"/>
      <c r="W385" s="44"/>
    </row>
    <row r="386" s="42" customFormat="true" ht="37.3" hidden="false" customHeight="true" outlineLevel="0" collapsed="false">
      <c r="A386" s="64"/>
      <c r="B386" s="54"/>
      <c r="C386" s="31" t="s">
        <v>31</v>
      </c>
      <c r="D386" s="36"/>
      <c r="E386" s="36"/>
      <c r="F386" s="37" t="n">
        <f aca="false">G386+H386+I386+J386+K386+L386+M386+N386+O386+P386+Q386+R386</f>
        <v>22036.1</v>
      </c>
      <c r="G386" s="37" t="n">
        <v>0</v>
      </c>
      <c r="H386" s="37" t="n">
        <v>0</v>
      </c>
      <c r="I386" s="37" t="n">
        <v>0</v>
      </c>
      <c r="J386" s="37" t="n">
        <v>0</v>
      </c>
      <c r="K386" s="37" t="n">
        <v>0</v>
      </c>
      <c r="L386" s="37" t="n">
        <v>0</v>
      </c>
      <c r="M386" s="37" t="n">
        <v>0</v>
      </c>
      <c r="N386" s="37" t="n">
        <v>0</v>
      </c>
      <c r="O386" s="37" t="n">
        <v>0</v>
      </c>
      <c r="P386" s="37" t="n">
        <v>22036.1</v>
      </c>
      <c r="Q386" s="37" t="n">
        <v>0</v>
      </c>
      <c r="R386" s="37" t="n">
        <v>0</v>
      </c>
      <c r="S386" s="53"/>
      <c r="T386" s="74"/>
      <c r="U386" s="74"/>
      <c r="V386" s="74"/>
      <c r="W386" s="44"/>
    </row>
    <row r="387" s="42" customFormat="true" ht="27" hidden="false" customHeight="true" outlineLevel="0" collapsed="false">
      <c r="A387" s="64"/>
      <c r="B387" s="54"/>
      <c r="C387" s="31" t="s">
        <v>32</v>
      </c>
      <c r="D387" s="36"/>
      <c r="E387" s="36"/>
      <c r="F387" s="37" t="n">
        <f aca="false">G387+H387+I387+J387+K387+L387+M387+N387+O387+P387+Q387+R387</f>
        <v>1159.79</v>
      </c>
      <c r="G387" s="37" t="n">
        <v>0</v>
      </c>
      <c r="H387" s="37" t="n">
        <v>0</v>
      </c>
      <c r="I387" s="37" t="n">
        <v>0</v>
      </c>
      <c r="J387" s="37" t="n">
        <v>0</v>
      </c>
      <c r="K387" s="37" t="n">
        <v>0</v>
      </c>
      <c r="L387" s="37" t="n">
        <v>0</v>
      </c>
      <c r="M387" s="37" t="n">
        <v>0</v>
      </c>
      <c r="N387" s="37" t="n">
        <v>0</v>
      </c>
      <c r="O387" s="37" t="n">
        <v>0</v>
      </c>
      <c r="P387" s="37" t="n">
        <v>1159.79</v>
      </c>
      <c r="Q387" s="37" t="n">
        <v>0</v>
      </c>
      <c r="R387" s="37" t="n">
        <v>0</v>
      </c>
      <c r="S387" s="53"/>
      <c r="T387" s="74"/>
      <c r="U387" s="74"/>
      <c r="V387" s="74"/>
      <c r="W387" s="44"/>
    </row>
    <row r="388" s="42" customFormat="true" ht="28.35" hidden="false" customHeight="true" outlineLevel="0" collapsed="false">
      <c r="A388" s="64"/>
      <c r="B388" s="54"/>
      <c r="C388" s="31" t="s">
        <v>33</v>
      </c>
      <c r="D388" s="36"/>
      <c r="E388" s="36"/>
      <c r="F388" s="37" t="n">
        <f aca="false">G388+H388+I388+J388+K388+L388+M388+N388+O388+P388+Q388+R388</f>
        <v>0</v>
      </c>
      <c r="G388" s="37" t="n">
        <v>0</v>
      </c>
      <c r="H388" s="37" t="n">
        <v>0</v>
      </c>
      <c r="I388" s="37" t="n">
        <v>0</v>
      </c>
      <c r="J388" s="37" t="n">
        <v>0</v>
      </c>
      <c r="K388" s="37" t="n">
        <v>0</v>
      </c>
      <c r="L388" s="37" t="n">
        <v>0</v>
      </c>
      <c r="M388" s="37" t="n">
        <v>0</v>
      </c>
      <c r="N388" s="37" t="n">
        <v>0</v>
      </c>
      <c r="O388" s="37" t="n">
        <v>0</v>
      </c>
      <c r="P388" s="37" t="n">
        <v>0</v>
      </c>
      <c r="Q388" s="37" t="n">
        <v>0</v>
      </c>
      <c r="R388" s="37" t="n">
        <v>0</v>
      </c>
      <c r="S388" s="53"/>
      <c r="T388" s="74"/>
      <c r="U388" s="74"/>
      <c r="V388" s="74"/>
      <c r="W388" s="44"/>
    </row>
    <row r="389" s="42" customFormat="true" ht="41" hidden="false" customHeight="true" outlineLevel="0" collapsed="false">
      <c r="A389" s="64"/>
      <c r="B389" s="54"/>
      <c r="C389" s="31" t="s">
        <v>34</v>
      </c>
      <c r="D389" s="36"/>
      <c r="E389" s="36"/>
      <c r="F389" s="37" t="n">
        <f aca="false">G389+H389+I389+J389+K389+L389+M389+N389+O389+P389+Q389+R389</f>
        <v>0</v>
      </c>
      <c r="G389" s="37" t="n">
        <v>0</v>
      </c>
      <c r="H389" s="37" t="n">
        <v>0</v>
      </c>
      <c r="I389" s="37" t="n">
        <v>0</v>
      </c>
      <c r="J389" s="37" t="n">
        <v>0</v>
      </c>
      <c r="K389" s="37" t="n">
        <v>0</v>
      </c>
      <c r="L389" s="37" t="n">
        <v>0</v>
      </c>
      <c r="M389" s="37" t="n">
        <v>0</v>
      </c>
      <c r="N389" s="37" t="n">
        <v>0</v>
      </c>
      <c r="O389" s="37" t="n">
        <v>0</v>
      </c>
      <c r="P389" s="37" t="n">
        <v>0</v>
      </c>
      <c r="Q389" s="37" t="n">
        <v>0</v>
      </c>
      <c r="R389" s="37" t="n">
        <v>0</v>
      </c>
      <c r="S389" s="53"/>
      <c r="T389" s="74"/>
      <c r="U389" s="74"/>
      <c r="V389" s="74"/>
      <c r="W389" s="44"/>
    </row>
    <row r="390" s="42" customFormat="true" ht="30.75" hidden="false" customHeight="true" outlineLevel="0" collapsed="false">
      <c r="A390" s="64"/>
      <c r="B390" s="54"/>
      <c r="C390" s="31" t="s">
        <v>35</v>
      </c>
      <c r="D390" s="36"/>
      <c r="E390" s="36"/>
      <c r="F390" s="37" t="n">
        <f aca="false">G390+H390+I390+J390+K390+L390+M390+N390+O390+P390+Q390+R390</f>
        <v>0</v>
      </c>
      <c r="G390" s="37" t="n">
        <v>0</v>
      </c>
      <c r="H390" s="37" t="n">
        <v>0</v>
      </c>
      <c r="I390" s="37" t="n">
        <v>0</v>
      </c>
      <c r="J390" s="37" t="n">
        <v>0</v>
      </c>
      <c r="K390" s="37" t="n">
        <v>0</v>
      </c>
      <c r="L390" s="37" t="n">
        <v>0</v>
      </c>
      <c r="M390" s="37" t="n">
        <v>0</v>
      </c>
      <c r="N390" s="37" t="n">
        <v>0</v>
      </c>
      <c r="O390" s="37" t="n">
        <v>0</v>
      </c>
      <c r="P390" s="37" t="n">
        <v>0</v>
      </c>
      <c r="Q390" s="37" t="n">
        <v>0</v>
      </c>
      <c r="R390" s="37" t="n">
        <v>0</v>
      </c>
      <c r="S390" s="53"/>
      <c r="T390" s="74"/>
      <c r="U390" s="74"/>
      <c r="V390" s="74"/>
      <c r="W390" s="44"/>
    </row>
    <row r="391" s="42" customFormat="true" ht="75.75" hidden="false" customHeight="true" outlineLevel="0" collapsed="false">
      <c r="A391" s="64"/>
      <c r="B391" s="54"/>
      <c r="C391" s="31" t="s">
        <v>36</v>
      </c>
      <c r="D391" s="36"/>
      <c r="E391" s="36"/>
      <c r="F391" s="37" t="n">
        <f aca="false">G391+H391+I391+J391+K391+L391+M391+N391+O391+P391+Q391+R391</f>
        <v>0</v>
      </c>
      <c r="G391" s="37" t="n">
        <v>0</v>
      </c>
      <c r="H391" s="37" t="n">
        <v>0</v>
      </c>
      <c r="I391" s="37" t="n">
        <v>0</v>
      </c>
      <c r="J391" s="37" t="n">
        <v>0</v>
      </c>
      <c r="K391" s="37" t="n">
        <v>0</v>
      </c>
      <c r="L391" s="37" t="n">
        <v>0</v>
      </c>
      <c r="M391" s="37" t="n">
        <v>0</v>
      </c>
      <c r="N391" s="37" t="n">
        <v>0</v>
      </c>
      <c r="O391" s="37" t="n">
        <v>0</v>
      </c>
      <c r="P391" s="37" t="n">
        <v>0</v>
      </c>
      <c r="Q391" s="37" t="n">
        <v>0</v>
      </c>
      <c r="R391" s="37" t="n">
        <v>0</v>
      </c>
      <c r="S391" s="53"/>
      <c r="T391" s="74"/>
      <c r="U391" s="74"/>
      <c r="V391" s="74"/>
      <c r="W391" s="44"/>
    </row>
    <row r="392" s="42" customFormat="true" ht="16.4" hidden="false" customHeight="true" outlineLevel="0" collapsed="false">
      <c r="A392" s="64" t="s">
        <v>154</v>
      </c>
      <c r="B392" s="54" t="s">
        <v>155</v>
      </c>
      <c r="C392" s="31" t="s">
        <v>30</v>
      </c>
      <c r="D392" s="36" t="s">
        <v>42</v>
      </c>
      <c r="E392" s="36" t="s">
        <v>153</v>
      </c>
      <c r="F392" s="37" t="n">
        <f aca="false">SUM(G392:R392)</f>
        <v>1443145.45364</v>
      </c>
      <c r="G392" s="37" t="n">
        <f aca="false">G399+G406+G413</f>
        <v>13891.94128</v>
      </c>
      <c r="H392" s="37" t="n">
        <f aca="false">H399+H406+H413</f>
        <v>61869.49996</v>
      </c>
      <c r="I392" s="37" t="n">
        <f aca="false">I399+I406+I413</f>
        <v>121651.07983</v>
      </c>
      <c r="J392" s="37" t="n">
        <f aca="false">J399+J406+J413</f>
        <v>115848.00873</v>
      </c>
      <c r="K392" s="37" t="n">
        <f aca="false">K399+K406+K413</f>
        <v>116087.05303</v>
      </c>
      <c r="L392" s="37" t="n">
        <f aca="false">L399+L406+L413</f>
        <v>135243.08479</v>
      </c>
      <c r="M392" s="37" t="n">
        <f aca="false">M399+M406+M413+M420</f>
        <v>322057.97614</v>
      </c>
      <c r="N392" s="37" t="n">
        <f aca="false">N399+N406+N413+N420</f>
        <v>215103.09088</v>
      </c>
      <c r="O392" s="37" t="n">
        <f aca="false">O399+O406+O413+O420</f>
        <v>80496.202</v>
      </c>
      <c r="P392" s="37" t="n">
        <f aca="false">P399+P406+P413+P420</f>
        <v>86714.639</v>
      </c>
      <c r="Q392" s="37" t="n">
        <f aca="false">Q399+Q406+Q413</f>
        <v>86972.339</v>
      </c>
      <c r="R392" s="37" t="n">
        <f aca="false">R399+R406+R413</f>
        <v>87210.539</v>
      </c>
      <c r="S392" s="53"/>
      <c r="T392" s="74"/>
      <c r="U392" s="74"/>
      <c r="V392" s="74"/>
      <c r="W392" s="44"/>
    </row>
    <row r="393" s="42" customFormat="true" ht="38.05" hidden="false" customHeight="true" outlineLevel="0" collapsed="false">
      <c r="A393" s="64"/>
      <c r="B393" s="54"/>
      <c r="C393" s="31" t="s">
        <v>31</v>
      </c>
      <c r="D393" s="36"/>
      <c r="E393" s="36"/>
      <c r="F393" s="37" t="n">
        <f aca="false">SUM(G393:R393)</f>
        <v>363660.9</v>
      </c>
      <c r="G393" s="37" t="n">
        <f aca="false">G400+G407+G414+G421</f>
        <v>5622.3</v>
      </c>
      <c r="H393" s="37" t="n">
        <f aca="false">H400+H407+H414+H421</f>
        <v>5205.3</v>
      </c>
      <c r="I393" s="37" t="n">
        <f aca="false">I400+I407+I414+I421</f>
        <v>7122.5</v>
      </c>
      <c r="J393" s="37" t="n">
        <f aca="false">J400+J407+J414+J421</f>
        <v>8771.7</v>
      </c>
      <c r="K393" s="37" t="n">
        <f aca="false">K400+K407+K414+K421</f>
        <v>5967.5</v>
      </c>
      <c r="L393" s="37" t="n">
        <f aca="false">L400+L407+L414+L421</f>
        <v>5324.6</v>
      </c>
      <c r="M393" s="37" t="n">
        <f aca="false">M400+M407+M414+M421</f>
        <v>204476.9</v>
      </c>
      <c r="N393" s="37" t="n">
        <f aca="false">N400+N407+N414+N421</f>
        <v>97986.3</v>
      </c>
      <c r="O393" s="37" t="n">
        <f aca="false">O400+O407+O414+O421</f>
        <v>5553.1</v>
      </c>
      <c r="P393" s="37" t="n">
        <f aca="false">P400+P407+P414+P421</f>
        <v>5625.7</v>
      </c>
      <c r="Q393" s="37" t="n">
        <f aca="false">Q400+Q407+Q414+Q421</f>
        <v>5883.4</v>
      </c>
      <c r="R393" s="37" t="n">
        <f aca="false">R400+R407+R414+R421</f>
        <v>6121.6</v>
      </c>
      <c r="T393" s="75" t="n">
        <f aca="false">86714.639-P392</f>
        <v>0</v>
      </c>
      <c r="U393" s="69" t="n">
        <f aca="false">86972.339-Q392</f>
        <v>1.45519152283669E-011</v>
      </c>
      <c r="V393" s="69" t="n">
        <f aca="false">87210.539-R392</f>
        <v>0</v>
      </c>
      <c r="W393" s="44"/>
    </row>
    <row r="394" s="42" customFormat="true" ht="32.05" hidden="false" customHeight="true" outlineLevel="0" collapsed="false">
      <c r="A394" s="64"/>
      <c r="B394" s="54"/>
      <c r="C394" s="31" t="s">
        <v>32</v>
      </c>
      <c r="D394" s="36"/>
      <c r="E394" s="36"/>
      <c r="F394" s="37" t="n">
        <f aca="false">SUM(G394:R394)</f>
        <v>1078730.55778</v>
      </c>
      <c r="G394" s="37" t="n">
        <f aca="false">G401+G408+G415+G422</f>
        <v>8269.64128</v>
      </c>
      <c r="H394" s="37" t="n">
        <f aca="false">H401+H408+H415+H422</f>
        <v>56664.19996</v>
      </c>
      <c r="I394" s="37" t="n">
        <f aca="false">I401+I408+I415+I422</f>
        <v>114528.57983</v>
      </c>
      <c r="J394" s="37" t="n">
        <f aca="false">J401+J408+J415+J422</f>
        <v>107076.30873</v>
      </c>
      <c r="K394" s="37" t="n">
        <f aca="false">K401+K408+K415+K422</f>
        <v>110119.55303</v>
      </c>
      <c r="L394" s="37" t="n">
        <f aca="false">L401+L408+L415+L422</f>
        <v>129918.48479</v>
      </c>
      <c r="M394" s="37" t="n">
        <f aca="false">M401+M408+M415+M422</f>
        <v>117581.07614</v>
      </c>
      <c r="N394" s="37" t="n">
        <f aca="false">N401+N408+N415+N422</f>
        <v>116362.79502</v>
      </c>
      <c r="O394" s="37" t="n">
        <f aca="false">O401+O408+O415+O422</f>
        <v>74943.102</v>
      </c>
      <c r="P394" s="37" t="n">
        <f aca="false">P401+P408+P415+P422</f>
        <v>81088.939</v>
      </c>
      <c r="Q394" s="37" t="n">
        <f aca="false">Q401+Q408+Q415+Q422</f>
        <v>81088.939</v>
      </c>
      <c r="R394" s="37" t="n">
        <f aca="false">R401+R408+R415+R422</f>
        <v>81088.939</v>
      </c>
      <c r="T394" s="11" t="n">
        <f aca="false">5625.7-P393</f>
        <v>0</v>
      </c>
      <c r="U394" s="11" t="n">
        <f aca="false">5883.4-Q393</f>
        <v>0</v>
      </c>
      <c r="V394" s="11" t="n">
        <f aca="false">6121.6-R393</f>
        <v>0</v>
      </c>
      <c r="W394" s="44"/>
    </row>
    <row r="395" s="42" customFormat="true" ht="28.35" hidden="false" customHeight="true" outlineLevel="0" collapsed="false">
      <c r="A395" s="64"/>
      <c r="B395" s="54"/>
      <c r="C395" s="31" t="s">
        <v>33</v>
      </c>
      <c r="D395" s="36"/>
      <c r="E395" s="36"/>
      <c r="F395" s="37" t="n">
        <f aca="false">SUM(G395:R395)</f>
        <v>753.99586</v>
      </c>
      <c r="G395" s="37" t="n">
        <f aca="false">G402+G409+G416</f>
        <v>0</v>
      </c>
      <c r="H395" s="37" t="n">
        <f aca="false">H402+H409+H416</f>
        <v>0</v>
      </c>
      <c r="I395" s="37" t="n">
        <f aca="false">I402+I409+I416</f>
        <v>0</v>
      </c>
      <c r="J395" s="37" t="n">
        <f aca="false">J402+J409+J416</f>
        <v>0</v>
      </c>
      <c r="K395" s="37" t="n">
        <f aca="false">K402+K409+K416</f>
        <v>0</v>
      </c>
      <c r="L395" s="37" t="n">
        <f aca="false">L402+L409+L416</f>
        <v>0</v>
      </c>
      <c r="M395" s="37" t="n">
        <f aca="false">L395*104/100</f>
        <v>0</v>
      </c>
      <c r="N395" s="37" t="n">
        <f aca="false">N423</f>
        <v>753.99586</v>
      </c>
      <c r="O395" s="37" t="n">
        <v>0</v>
      </c>
      <c r="P395" s="37" t="n">
        <v>0</v>
      </c>
      <c r="Q395" s="37" t="n">
        <f aca="false">P395*104/100</f>
        <v>0</v>
      </c>
      <c r="R395" s="37" t="n">
        <f aca="false">Q395*104/100</f>
        <v>0</v>
      </c>
      <c r="T395" s="49"/>
      <c r="U395" s="49"/>
      <c r="V395" s="49"/>
      <c r="W395" s="44"/>
    </row>
    <row r="396" s="42" customFormat="true" ht="38.05" hidden="false" customHeight="true" outlineLevel="0" collapsed="false">
      <c r="A396" s="64"/>
      <c r="B396" s="54"/>
      <c r="C396" s="31" t="s">
        <v>34</v>
      </c>
      <c r="D396" s="36"/>
      <c r="E396" s="36"/>
      <c r="F396" s="37" t="n">
        <v>0</v>
      </c>
      <c r="G396" s="37" t="n">
        <v>0</v>
      </c>
      <c r="H396" s="37" t="n">
        <v>0</v>
      </c>
      <c r="I396" s="37" t="n">
        <v>0</v>
      </c>
      <c r="J396" s="37" t="n">
        <v>0</v>
      </c>
      <c r="K396" s="37" t="n">
        <v>0</v>
      </c>
      <c r="L396" s="37" t="n">
        <v>0</v>
      </c>
      <c r="M396" s="37" t="n">
        <f aca="false">L396*104/100</f>
        <v>0</v>
      </c>
      <c r="N396" s="37" t="n">
        <v>0</v>
      </c>
      <c r="O396" s="33" t="n">
        <v>0</v>
      </c>
      <c r="P396" s="33" t="n">
        <v>0</v>
      </c>
      <c r="Q396" s="33" t="n">
        <v>0</v>
      </c>
      <c r="R396" s="37" t="n">
        <v>0</v>
      </c>
      <c r="T396" s="49"/>
      <c r="U396" s="49"/>
      <c r="V396" s="49"/>
      <c r="W396" s="44"/>
    </row>
    <row r="397" s="42" customFormat="true" ht="29.85" hidden="false" customHeight="true" outlineLevel="0" collapsed="false">
      <c r="A397" s="64"/>
      <c r="B397" s="54"/>
      <c r="C397" s="31" t="s">
        <v>35</v>
      </c>
      <c r="D397" s="36"/>
      <c r="E397" s="36"/>
      <c r="F397" s="37" t="n">
        <v>0</v>
      </c>
      <c r="G397" s="37" t="n">
        <v>0</v>
      </c>
      <c r="H397" s="37" t="n">
        <v>0</v>
      </c>
      <c r="I397" s="37" t="n">
        <v>0</v>
      </c>
      <c r="J397" s="37" t="n">
        <v>0</v>
      </c>
      <c r="K397" s="37" t="n">
        <v>0</v>
      </c>
      <c r="L397" s="37" t="n">
        <v>0</v>
      </c>
      <c r="M397" s="37" t="n">
        <f aca="false">L397*104/100</f>
        <v>0</v>
      </c>
      <c r="N397" s="37" t="n">
        <v>0</v>
      </c>
      <c r="O397" s="33" t="n">
        <v>0</v>
      </c>
      <c r="P397" s="33" t="n">
        <v>0</v>
      </c>
      <c r="Q397" s="33" t="n">
        <v>0</v>
      </c>
      <c r="R397" s="37" t="n">
        <v>0</v>
      </c>
      <c r="T397" s="49"/>
      <c r="U397" s="49"/>
      <c r="V397" s="49"/>
      <c r="W397" s="44"/>
    </row>
    <row r="398" s="42" customFormat="true" ht="73.85" hidden="false" customHeight="true" outlineLevel="0" collapsed="false">
      <c r="A398" s="64"/>
      <c r="B398" s="54"/>
      <c r="C398" s="31" t="s">
        <v>36</v>
      </c>
      <c r="D398" s="36"/>
      <c r="E398" s="36"/>
      <c r="F398" s="37" t="n">
        <v>0</v>
      </c>
      <c r="G398" s="37" t="n">
        <v>0</v>
      </c>
      <c r="H398" s="37" t="n">
        <v>0</v>
      </c>
      <c r="I398" s="37" t="n">
        <v>0</v>
      </c>
      <c r="J398" s="37" t="n">
        <v>0</v>
      </c>
      <c r="K398" s="37" t="n">
        <v>0</v>
      </c>
      <c r="L398" s="37" t="n">
        <v>0</v>
      </c>
      <c r="M398" s="37" t="n">
        <f aca="false">L398*104/100</f>
        <v>0</v>
      </c>
      <c r="N398" s="37" t="n">
        <v>0</v>
      </c>
      <c r="O398" s="33" t="n">
        <v>0</v>
      </c>
      <c r="P398" s="33" t="n">
        <v>0</v>
      </c>
      <c r="Q398" s="33" t="n">
        <v>0</v>
      </c>
      <c r="R398" s="37" t="n">
        <v>0</v>
      </c>
      <c r="T398" s="49"/>
      <c r="U398" s="49"/>
      <c r="V398" s="49"/>
      <c r="W398" s="44"/>
    </row>
    <row r="399" s="42" customFormat="true" ht="14.35" hidden="false" customHeight="true" outlineLevel="0" collapsed="false">
      <c r="A399" s="64" t="s">
        <v>156</v>
      </c>
      <c r="B399" s="54" t="s">
        <v>157</v>
      </c>
      <c r="C399" s="31" t="s">
        <v>30</v>
      </c>
      <c r="D399" s="36" t="s">
        <v>42</v>
      </c>
      <c r="E399" s="36" t="s">
        <v>153</v>
      </c>
      <c r="F399" s="37" t="n">
        <f aca="false">SUM(G399:R399)</f>
        <v>66809.5</v>
      </c>
      <c r="G399" s="37" t="n">
        <f aca="false">SUM(G400:G405)</f>
        <v>5622.3</v>
      </c>
      <c r="H399" s="37" t="n">
        <f aca="false">SUM(H400:H405)</f>
        <v>5205.3</v>
      </c>
      <c r="I399" s="37" t="n">
        <f aca="false">SUM(I400:I405)</f>
        <v>4520.5</v>
      </c>
      <c r="J399" s="37" t="n">
        <f aca="false">SUM(J400:J405)</f>
        <v>6023.7</v>
      </c>
      <c r="K399" s="37" t="n">
        <f aca="false">SUM(K400:K405)</f>
        <v>5967.5</v>
      </c>
      <c r="L399" s="37" t="n">
        <f aca="false">SUM(L400:L405)</f>
        <v>5324.6</v>
      </c>
      <c r="M399" s="37" t="n">
        <f aca="false">SUM(M400:M405)</f>
        <v>5421.2</v>
      </c>
      <c r="N399" s="37" t="n">
        <f aca="false">SUM(N400:N405)</f>
        <v>5540.6</v>
      </c>
      <c r="O399" s="37" t="n">
        <f aca="false">SUM(O400:O405)</f>
        <v>5553.1</v>
      </c>
      <c r="P399" s="37" t="n">
        <f aca="false">SUM(P400:P405)</f>
        <v>5625.7</v>
      </c>
      <c r="Q399" s="37" t="n">
        <f aca="false">SUM(Q400:Q405)</f>
        <v>5883.4</v>
      </c>
      <c r="R399" s="37" t="n">
        <f aca="false">SUM(R400:R405)</f>
        <v>6121.6</v>
      </c>
      <c r="T399" s="49"/>
      <c r="U399" s="49"/>
      <c r="V399" s="49"/>
      <c r="W399" s="44"/>
    </row>
    <row r="400" s="42" customFormat="true" ht="38.8" hidden="false" customHeight="true" outlineLevel="0" collapsed="false">
      <c r="A400" s="64"/>
      <c r="B400" s="54"/>
      <c r="C400" s="31" t="s">
        <v>31</v>
      </c>
      <c r="D400" s="36"/>
      <c r="E400" s="36"/>
      <c r="F400" s="37" t="n">
        <f aca="false">SUM(G400:R400)</f>
        <v>66809.5</v>
      </c>
      <c r="G400" s="37" t="n">
        <v>5622.3</v>
      </c>
      <c r="H400" s="37" t="n">
        <v>5205.3</v>
      </c>
      <c r="I400" s="37" t="n">
        <v>4520.5</v>
      </c>
      <c r="J400" s="37" t="n">
        <v>6023.7</v>
      </c>
      <c r="K400" s="37" t="n">
        <v>5967.5</v>
      </c>
      <c r="L400" s="37" t="n">
        <v>5324.6</v>
      </c>
      <c r="M400" s="37" t="n">
        <v>5421.2</v>
      </c>
      <c r="N400" s="37" t="n">
        <v>5540.6</v>
      </c>
      <c r="O400" s="37" t="n">
        <v>5553.1</v>
      </c>
      <c r="P400" s="37" t="n">
        <v>5625.7</v>
      </c>
      <c r="Q400" s="37" t="n">
        <v>5883.4</v>
      </c>
      <c r="R400" s="37" t="n">
        <v>6121.6</v>
      </c>
      <c r="T400" s="49"/>
      <c r="U400" s="49"/>
      <c r="V400" s="49"/>
      <c r="W400" s="44"/>
    </row>
    <row r="401" s="42" customFormat="true" ht="27.6" hidden="false" customHeight="true" outlineLevel="0" collapsed="false">
      <c r="A401" s="64"/>
      <c r="B401" s="54"/>
      <c r="C401" s="31" t="s">
        <v>32</v>
      </c>
      <c r="D401" s="36"/>
      <c r="E401" s="36"/>
      <c r="F401" s="37" t="n">
        <f aca="false">SUM(G401:N401)</f>
        <v>0</v>
      </c>
      <c r="G401" s="37" t="n">
        <v>0</v>
      </c>
      <c r="H401" s="37" t="n">
        <v>0</v>
      </c>
      <c r="I401" s="37" t="n">
        <v>0</v>
      </c>
      <c r="J401" s="37" t="n">
        <v>0</v>
      </c>
      <c r="K401" s="37" t="n">
        <v>0</v>
      </c>
      <c r="L401" s="37" t="n">
        <v>0</v>
      </c>
      <c r="M401" s="37" t="n">
        <f aca="false">L401*104/100</f>
        <v>0</v>
      </c>
      <c r="N401" s="37" t="n">
        <v>0</v>
      </c>
      <c r="O401" s="33" t="n">
        <v>0</v>
      </c>
      <c r="P401" s="33" t="n">
        <v>0</v>
      </c>
      <c r="Q401" s="33" t="n">
        <v>0</v>
      </c>
      <c r="R401" s="37" t="n">
        <v>0</v>
      </c>
      <c r="T401" s="49"/>
      <c r="U401" s="49"/>
      <c r="V401" s="49"/>
      <c r="W401" s="44"/>
    </row>
    <row r="402" s="42" customFormat="true" ht="24.6" hidden="false" customHeight="true" outlineLevel="0" collapsed="false">
      <c r="A402" s="64"/>
      <c r="B402" s="54"/>
      <c r="C402" s="31" t="s">
        <v>33</v>
      </c>
      <c r="D402" s="36"/>
      <c r="E402" s="36"/>
      <c r="F402" s="37" t="n">
        <f aca="false">SUM(G402:N402)</f>
        <v>0</v>
      </c>
      <c r="G402" s="37" t="n">
        <v>0</v>
      </c>
      <c r="H402" s="37" t="n">
        <v>0</v>
      </c>
      <c r="I402" s="37" t="n">
        <v>0</v>
      </c>
      <c r="J402" s="37" t="n">
        <v>0</v>
      </c>
      <c r="K402" s="37" t="n">
        <v>0</v>
      </c>
      <c r="L402" s="37" t="n">
        <v>0</v>
      </c>
      <c r="M402" s="37" t="n">
        <f aca="false">L402*104/100</f>
        <v>0</v>
      </c>
      <c r="N402" s="37" t="n">
        <v>0</v>
      </c>
      <c r="O402" s="33" t="n">
        <v>0</v>
      </c>
      <c r="P402" s="33" t="n">
        <v>0</v>
      </c>
      <c r="Q402" s="33" t="n">
        <v>0</v>
      </c>
      <c r="R402" s="37" t="n">
        <v>0</v>
      </c>
      <c r="T402" s="49"/>
      <c r="U402" s="49"/>
      <c r="V402" s="49"/>
      <c r="W402" s="44"/>
    </row>
    <row r="403" s="42" customFormat="true" ht="36.55" hidden="false" customHeight="true" outlineLevel="0" collapsed="false">
      <c r="A403" s="64"/>
      <c r="B403" s="54"/>
      <c r="C403" s="31" t="s">
        <v>34</v>
      </c>
      <c r="D403" s="36"/>
      <c r="E403" s="36"/>
      <c r="F403" s="37" t="n">
        <v>0</v>
      </c>
      <c r="G403" s="37" t="n">
        <v>0</v>
      </c>
      <c r="H403" s="37" t="n">
        <v>0</v>
      </c>
      <c r="I403" s="37" t="n">
        <v>0</v>
      </c>
      <c r="J403" s="37" t="n">
        <v>0</v>
      </c>
      <c r="K403" s="37" t="n">
        <v>0</v>
      </c>
      <c r="L403" s="37" t="n">
        <v>0</v>
      </c>
      <c r="M403" s="37" t="n">
        <f aca="false">L403*104/100</f>
        <v>0</v>
      </c>
      <c r="N403" s="37" t="n">
        <v>0</v>
      </c>
      <c r="O403" s="33" t="n">
        <v>0</v>
      </c>
      <c r="P403" s="33" t="n">
        <v>0</v>
      </c>
      <c r="Q403" s="33" t="n">
        <v>0</v>
      </c>
      <c r="R403" s="37" t="n">
        <v>0</v>
      </c>
      <c r="T403" s="49"/>
      <c r="U403" s="49"/>
      <c r="V403" s="49"/>
      <c r="W403" s="44"/>
    </row>
    <row r="404" s="42" customFormat="true" ht="28.35" hidden="false" customHeight="true" outlineLevel="0" collapsed="false">
      <c r="A404" s="64"/>
      <c r="B404" s="54"/>
      <c r="C404" s="31" t="s">
        <v>35</v>
      </c>
      <c r="D404" s="36"/>
      <c r="E404" s="36"/>
      <c r="F404" s="37" t="n">
        <v>0</v>
      </c>
      <c r="G404" s="37" t="n">
        <v>0</v>
      </c>
      <c r="H404" s="37" t="n">
        <v>0</v>
      </c>
      <c r="I404" s="37" t="n">
        <v>0</v>
      </c>
      <c r="J404" s="37" t="n">
        <v>0</v>
      </c>
      <c r="K404" s="37" t="n">
        <v>0</v>
      </c>
      <c r="L404" s="37" t="n">
        <v>0</v>
      </c>
      <c r="M404" s="37" t="n">
        <f aca="false">L404*104/100</f>
        <v>0</v>
      </c>
      <c r="N404" s="37" t="n">
        <v>0</v>
      </c>
      <c r="O404" s="33" t="n">
        <v>0</v>
      </c>
      <c r="P404" s="33" t="n">
        <v>0</v>
      </c>
      <c r="Q404" s="33" t="n">
        <v>0</v>
      </c>
      <c r="R404" s="37" t="n">
        <v>0</v>
      </c>
      <c r="T404" s="49"/>
      <c r="U404" s="49"/>
      <c r="V404" s="49"/>
      <c r="W404" s="44"/>
    </row>
    <row r="405" s="42" customFormat="true" ht="77.6" hidden="false" customHeight="true" outlineLevel="0" collapsed="false">
      <c r="A405" s="64"/>
      <c r="B405" s="54"/>
      <c r="C405" s="31" t="s">
        <v>36</v>
      </c>
      <c r="D405" s="36"/>
      <c r="E405" s="36"/>
      <c r="F405" s="37" t="n">
        <v>0</v>
      </c>
      <c r="G405" s="37" t="n">
        <v>0</v>
      </c>
      <c r="H405" s="37" t="n">
        <v>0</v>
      </c>
      <c r="I405" s="37" t="n">
        <v>0</v>
      </c>
      <c r="J405" s="37" t="n">
        <v>0</v>
      </c>
      <c r="K405" s="37" t="n">
        <v>0</v>
      </c>
      <c r="L405" s="37" t="n">
        <v>0</v>
      </c>
      <c r="M405" s="37" t="n">
        <f aca="false">L405*104/100</f>
        <v>0</v>
      </c>
      <c r="N405" s="37" t="n">
        <v>0</v>
      </c>
      <c r="O405" s="33" t="n">
        <v>0</v>
      </c>
      <c r="P405" s="33" t="n">
        <v>0</v>
      </c>
      <c r="Q405" s="33" t="n">
        <v>0</v>
      </c>
      <c r="R405" s="37" t="n">
        <v>0</v>
      </c>
      <c r="T405" s="49"/>
      <c r="U405" s="49"/>
      <c r="V405" s="49"/>
      <c r="W405" s="44"/>
    </row>
    <row r="406" s="42" customFormat="true" ht="14.35" hidden="false" customHeight="true" outlineLevel="0" collapsed="false">
      <c r="A406" s="64" t="s">
        <v>158</v>
      </c>
      <c r="B406" s="54" t="s">
        <v>159</v>
      </c>
      <c r="C406" s="31" t="s">
        <v>30</v>
      </c>
      <c r="D406" s="36" t="s">
        <v>42</v>
      </c>
      <c r="E406" s="36" t="s">
        <v>153</v>
      </c>
      <c r="F406" s="37" t="n">
        <f aca="false">SUM(G406:R406)</f>
        <v>1071712.01814</v>
      </c>
      <c r="G406" s="37" t="n">
        <f aca="false">SUM(G407:G412)</f>
        <v>1458.28128</v>
      </c>
      <c r="H406" s="37" t="n">
        <f aca="false">SUM(H407:H412)</f>
        <v>54051.48596</v>
      </c>
      <c r="I406" s="37" t="n">
        <f aca="false">SUM(I407:I412)</f>
        <v>117130.57983</v>
      </c>
      <c r="J406" s="37" t="n">
        <f aca="false">SUM(J407:J412)</f>
        <v>109824.30873</v>
      </c>
      <c r="K406" s="37" t="n">
        <f aca="false">SUM(K407:K412)</f>
        <v>110119.55303</v>
      </c>
      <c r="L406" s="37" t="n">
        <f aca="false">SUM(L407:L412)</f>
        <v>129918.48479</v>
      </c>
      <c r="M406" s="37" t="n">
        <f aca="false">SUM(M407:M412)</f>
        <v>115570.4125</v>
      </c>
      <c r="N406" s="37" t="n">
        <f aca="false">SUM(N407:N412)</f>
        <v>115428.99302</v>
      </c>
      <c r="O406" s="37" t="n">
        <f aca="false">SUM(O407:O412)</f>
        <v>74943.102</v>
      </c>
      <c r="P406" s="37" t="n">
        <f aca="false">SUM(P407:P412)</f>
        <v>81088.939</v>
      </c>
      <c r="Q406" s="37" t="n">
        <f aca="false">SUM(Q407:Q412)</f>
        <v>81088.939</v>
      </c>
      <c r="R406" s="37" t="n">
        <f aca="false">SUM(R407:R412)</f>
        <v>81088.939</v>
      </c>
      <c r="T406" s="49"/>
      <c r="U406" s="49"/>
      <c r="V406" s="49"/>
      <c r="W406" s="44"/>
    </row>
    <row r="407" s="42" customFormat="true" ht="37.3" hidden="false" customHeight="true" outlineLevel="0" collapsed="false">
      <c r="A407" s="64"/>
      <c r="B407" s="54"/>
      <c r="C407" s="31" t="s">
        <v>31</v>
      </c>
      <c r="D407" s="36"/>
      <c r="E407" s="36"/>
      <c r="F407" s="37" t="n">
        <f aca="false">SUM(G407:R407)</f>
        <v>5350</v>
      </c>
      <c r="G407" s="37" t="n">
        <v>0</v>
      </c>
      <c r="H407" s="37" t="n">
        <v>0</v>
      </c>
      <c r="I407" s="37" t="n">
        <v>2602</v>
      </c>
      <c r="J407" s="37" t="n">
        <f aca="false">2892.63158-144.63158</f>
        <v>2748</v>
      </c>
      <c r="K407" s="37" t="n">
        <v>0</v>
      </c>
      <c r="L407" s="37" t="n">
        <v>0</v>
      </c>
      <c r="M407" s="37" t="n">
        <f aca="false">L407*104/100</f>
        <v>0</v>
      </c>
      <c r="N407" s="37" t="n">
        <v>0</v>
      </c>
      <c r="O407" s="33" t="n">
        <v>0</v>
      </c>
      <c r="P407" s="33" t="n">
        <v>0</v>
      </c>
      <c r="Q407" s="33" t="n">
        <v>0</v>
      </c>
      <c r="R407" s="37" t="n">
        <v>0</v>
      </c>
      <c r="T407" s="49"/>
      <c r="U407" s="49"/>
      <c r="V407" s="49"/>
      <c r="W407" s="44"/>
    </row>
    <row r="408" s="42" customFormat="true" ht="27.6" hidden="false" customHeight="true" outlineLevel="0" collapsed="false">
      <c r="A408" s="64"/>
      <c r="B408" s="54"/>
      <c r="C408" s="31" t="s">
        <v>32</v>
      </c>
      <c r="D408" s="36"/>
      <c r="E408" s="36"/>
      <c r="F408" s="37" t="n">
        <f aca="false">SUM(G408:R408)</f>
        <v>1066362.01814</v>
      </c>
      <c r="G408" s="37" t="n">
        <v>1458.28128</v>
      </c>
      <c r="H408" s="37" t="n">
        <v>54051.48596</v>
      </c>
      <c r="I408" s="37" t="n">
        <v>114528.57983</v>
      </c>
      <c r="J408" s="37" t="n">
        <f aca="false">106931.67715+144.63158</f>
        <v>107076.30873</v>
      </c>
      <c r="K408" s="37" t="n">
        <v>110119.55303</v>
      </c>
      <c r="L408" s="37" t="n">
        <v>129918.48479</v>
      </c>
      <c r="M408" s="37" t="n">
        <v>115570.4125</v>
      </c>
      <c r="N408" s="37" t="n">
        <v>115428.99302</v>
      </c>
      <c r="O408" s="37" t="n">
        <v>74943.102</v>
      </c>
      <c r="P408" s="37" t="n">
        <v>81088.939</v>
      </c>
      <c r="Q408" s="37" t="n">
        <v>81088.939</v>
      </c>
      <c r="R408" s="37" t="n">
        <v>81088.939</v>
      </c>
      <c r="T408" s="49"/>
      <c r="U408" s="49"/>
      <c r="V408" s="49"/>
      <c r="W408" s="44"/>
    </row>
    <row r="409" s="42" customFormat="true" ht="29.1" hidden="false" customHeight="true" outlineLevel="0" collapsed="false">
      <c r="A409" s="64"/>
      <c r="B409" s="54"/>
      <c r="C409" s="31" t="s">
        <v>33</v>
      </c>
      <c r="D409" s="36"/>
      <c r="E409" s="36"/>
      <c r="F409" s="37" t="n">
        <f aca="false">SUM(G409:N409)</f>
        <v>0</v>
      </c>
      <c r="G409" s="37" t="n">
        <v>0</v>
      </c>
      <c r="H409" s="37" t="n">
        <v>0</v>
      </c>
      <c r="I409" s="37" t="n">
        <v>0</v>
      </c>
      <c r="J409" s="37" t="n">
        <v>0</v>
      </c>
      <c r="K409" s="37" t="n">
        <v>0</v>
      </c>
      <c r="L409" s="37" t="n">
        <v>0</v>
      </c>
      <c r="M409" s="37" t="n">
        <f aca="false">L409*104/100</f>
        <v>0</v>
      </c>
      <c r="N409" s="37" t="n">
        <v>0</v>
      </c>
      <c r="O409" s="33" t="n">
        <v>0</v>
      </c>
      <c r="P409" s="33" t="n">
        <v>0</v>
      </c>
      <c r="Q409" s="33" t="n">
        <v>0</v>
      </c>
      <c r="R409" s="37" t="n">
        <v>0</v>
      </c>
      <c r="T409" s="49"/>
      <c r="U409" s="49"/>
      <c r="V409" s="49"/>
      <c r="W409" s="44"/>
    </row>
    <row r="410" s="42" customFormat="true" ht="40.25" hidden="false" customHeight="true" outlineLevel="0" collapsed="false">
      <c r="A410" s="64"/>
      <c r="B410" s="54"/>
      <c r="C410" s="31" t="s">
        <v>34</v>
      </c>
      <c r="D410" s="36"/>
      <c r="E410" s="36"/>
      <c r="F410" s="37" t="n">
        <v>0</v>
      </c>
      <c r="G410" s="37" t="n">
        <v>0</v>
      </c>
      <c r="H410" s="37" t="n">
        <v>0</v>
      </c>
      <c r="I410" s="37" t="n">
        <v>0</v>
      </c>
      <c r="J410" s="37" t="n">
        <v>0</v>
      </c>
      <c r="K410" s="37" t="n">
        <v>0</v>
      </c>
      <c r="L410" s="37" t="n">
        <v>0</v>
      </c>
      <c r="M410" s="37" t="n">
        <f aca="false">L410*104/100</f>
        <v>0</v>
      </c>
      <c r="N410" s="37" t="n">
        <v>0</v>
      </c>
      <c r="O410" s="33" t="n">
        <v>0</v>
      </c>
      <c r="P410" s="33" t="n">
        <v>0</v>
      </c>
      <c r="Q410" s="33" t="n">
        <v>0</v>
      </c>
      <c r="R410" s="37" t="n">
        <v>0</v>
      </c>
      <c r="T410" s="49"/>
      <c r="U410" s="49"/>
      <c r="V410" s="49"/>
      <c r="W410" s="44"/>
    </row>
    <row r="411" s="42" customFormat="true" ht="30.55" hidden="false" customHeight="true" outlineLevel="0" collapsed="false">
      <c r="A411" s="76"/>
      <c r="B411" s="57"/>
      <c r="C411" s="31" t="s">
        <v>35</v>
      </c>
      <c r="D411" s="36"/>
      <c r="E411" s="36"/>
      <c r="F411" s="37" t="n">
        <v>0</v>
      </c>
      <c r="G411" s="37" t="n">
        <v>0</v>
      </c>
      <c r="H411" s="37" t="n">
        <v>0</v>
      </c>
      <c r="I411" s="37" t="n">
        <v>0</v>
      </c>
      <c r="J411" s="37" t="n">
        <v>0</v>
      </c>
      <c r="K411" s="37" t="n">
        <v>0</v>
      </c>
      <c r="L411" s="37" t="n">
        <v>0</v>
      </c>
      <c r="M411" s="37" t="n">
        <f aca="false">L411*104/100</f>
        <v>0</v>
      </c>
      <c r="N411" s="37" t="n">
        <v>0</v>
      </c>
      <c r="O411" s="33" t="n">
        <v>0</v>
      </c>
      <c r="P411" s="33" t="n">
        <v>0</v>
      </c>
      <c r="Q411" s="33" t="n">
        <v>0</v>
      </c>
      <c r="R411" s="37" t="n">
        <v>0</v>
      </c>
      <c r="T411" s="49"/>
      <c r="U411" s="49"/>
      <c r="V411" s="49"/>
      <c r="W411" s="44"/>
    </row>
    <row r="412" s="42" customFormat="true" ht="75.35" hidden="false" customHeight="true" outlineLevel="0" collapsed="false">
      <c r="A412" s="77"/>
      <c r="B412" s="61"/>
      <c r="C412" s="31" t="s">
        <v>36</v>
      </c>
      <c r="D412" s="36"/>
      <c r="E412" s="36"/>
      <c r="F412" s="37" t="n">
        <v>0</v>
      </c>
      <c r="G412" s="37" t="n">
        <v>0</v>
      </c>
      <c r="H412" s="37" t="n">
        <v>0</v>
      </c>
      <c r="I412" s="37" t="n">
        <v>0</v>
      </c>
      <c r="J412" s="37" t="n">
        <v>0</v>
      </c>
      <c r="K412" s="37" t="n">
        <v>0</v>
      </c>
      <c r="L412" s="37" t="n">
        <v>0</v>
      </c>
      <c r="M412" s="37" t="n">
        <f aca="false">L412*104/100</f>
        <v>0</v>
      </c>
      <c r="N412" s="37" t="n">
        <v>0</v>
      </c>
      <c r="O412" s="33" t="n">
        <v>0</v>
      </c>
      <c r="P412" s="33" t="n">
        <v>0</v>
      </c>
      <c r="Q412" s="33" t="n">
        <v>0</v>
      </c>
      <c r="R412" s="37" t="n">
        <v>0</v>
      </c>
      <c r="T412" s="49"/>
      <c r="U412" s="49"/>
      <c r="V412" s="49"/>
      <c r="W412" s="44"/>
    </row>
    <row r="413" s="42" customFormat="true" ht="19.4" hidden="false" customHeight="true" outlineLevel="0" collapsed="false">
      <c r="A413" s="64" t="s">
        <v>160</v>
      </c>
      <c r="B413" s="54" t="s">
        <v>161</v>
      </c>
      <c r="C413" s="31" t="s">
        <v>30</v>
      </c>
      <c r="D413" s="36" t="s">
        <v>42</v>
      </c>
      <c r="E413" s="36" t="s">
        <v>153</v>
      </c>
      <c r="F413" s="37" t="n">
        <f aca="false">SUM(G413:R413)</f>
        <v>9424.074</v>
      </c>
      <c r="G413" s="37" t="n">
        <f aca="false">SUM(G414:G419)</f>
        <v>6811.36</v>
      </c>
      <c r="H413" s="37" t="n">
        <f aca="false">SUM(H414:H419)</f>
        <v>2612.714</v>
      </c>
      <c r="I413" s="37" t="n">
        <f aca="false">SUM(I414:I419)</f>
        <v>0</v>
      </c>
      <c r="J413" s="37" t="n">
        <f aca="false">SUM(J414:J419)</f>
        <v>0</v>
      </c>
      <c r="K413" s="37" t="n">
        <f aca="false">SUM(K414:K419)</f>
        <v>0</v>
      </c>
      <c r="L413" s="37" t="n">
        <f aca="false">SUM(L414:L419)</f>
        <v>0</v>
      </c>
      <c r="M413" s="37" t="n">
        <f aca="false">SUM(M414:M419)</f>
        <v>0</v>
      </c>
      <c r="N413" s="37" t="n">
        <v>0</v>
      </c>
      <c r="O413" s="33" t="n">
        <v>0</v>
      </c>
      <c r="P413" s="33" t="n">
        <v>0</v>
      </c>
      <c r="Q413" s="33" t="n">
        <v>0</v>
      </c>
      <c r="R413" s="37" t="n">
        <v>0</v>
      </c>
      <c r="T413" s="49"/>
      <c r="U413" s="49"/>
      <c r="V413" s="49"/>
      <c r="W413" s="44"/>
    </row>
    <row r="414" s="42" customFormat="true" ht="39.55" hidden="false" customHeight="true" outlineLevel="0" collapsed="false">
      <c r="A414" s="64"/>
      <c r="B414" s="54"/>
      <c r="C414" s="31" t="s">
        <v>31</v>
      </c>
      <c r="D414" s="36"/>
      <c r="E414" s="36"/>
      <c r="F414" s="37" t="n">
        <f aca="false">SUM(G414:R414)</f>
        <v>0</v>
      </c>
      <c r="G414" s="37" t="n">
        <v>0</v>
      </c>
      <c r="H414" s="37" t="n">
        <v>0</v>
      </c>
      <c r="I414" s="37" t="n">
        <v>0</v>
      </c>
      <c r="J414" s="37" t="n">
        <v>0</v>
      </c>
      <c r="K414" s="37" t="n">
        <v>0</v>
      </c>
      <c r="L414" s="37" t="n">
        <v>0</v>
      </c>
      <c r="M414" s="37" t="n">
        <f aca="false">L414*104/100</f>
        <v>0</v>
      </c>
      <c r="N414" s="37" t="n">
        <v>0</v>
      </c>
      <c r="O414" s="33" t="n">
        <v>0</v>
      </c>
      <c r="P414" s="33" t="n">
        <v>0</v>
      </c>
      <c r="Q414" s="33" t="n">
        <v>0</v>
      </c>
      <c r="R414" s="37" t="n">
        <v>0</v>
      </c>
      <c r="T414" s="49"/>
      <c r="U414" s="49"/>
      <c r="V414" s="49"/>
      <c r="W414" s="44"/>
    </row>
    <row r="415" s="42" customFormat="true" ht="26.1" hidden="false" customHeight="true" outlineLevel="0" collapsed="false">
      <c r="A415" s="64"/>
      <c r="B415" s="54"/>
      <c r="C415" s="31" t="s">
        <v>32</v>
      </c>
      <c r="D415" s="36"/>
      <c r="E415" s="36"/>
      <c r="F415" s="37" t="n">
        <f aca="false">SUM(G415:R415)</f>
        <v>9424.074</v>
      </c>
      <c r="G415" s="37" t="n">
        <v>6811.36</v>
      </c>
      <c r="H415" s="37" t="n">
        <v>2612.714</v>
      </c>
      <c r="I415" s="37" t="n">
        <v>0</v>
      </c>
      <c r="J415" s="37" t="n">
        <v>0</v>
      </c>
      <c r="K415" s="37" t="n">
        <v>0</v>
      </c>
      <c r="L415" s="37" t="n">
        <v>0</v>
      </c>
      <c r="M415" s="37" t="n">
        <f aca="false">L415*104/100</f>
        <v>0</v>
      </c>
      <c r="N415" s="37" t="n">
        <v>0</v>
      </c>
      <c r="O415" s="33" t="n">
        <v>0</v>
      </c>
      <c r="P415" s="33" t="n">
        <v>0</v>
      </c>
      <c r="Q415" s="33" t="n">
        <v>0</v>
      </c>
      <c r="R415" s="37" t="n">
        <v>0</v>
      </c>
      <c r="T415" s="49"/>
      <c r="U415" s="49"/>
      <c r="V415" s="49"/>
      <c r="W415" s="44"/>
    </row>
    <row r="416" s="42" customFormat="true" ht="26.1" hidden="false" customHeight="true" outlineLevel="0" collapsed="false">
      <c r="A416" s="64"/>
      <c r="B416" s="54"/>
      <c r="C416" s="31" t="s">
        <v>33</v>
      </c>
      <c r="D416" s="36"/>
      <c r="E416" s="36"/>
      <c r="F416" s="37" t="n">
        <v>0</v>
      </c>
      <c r="G416" s="37" t="n">
        <v>0</v>
      </c>
      <c r="H416" s="37" t="n">
        <v>0</v>
      </c>
      <c r="I416" s="37" t="n">
        <v>0</v>
      </c>
      <c r="J416" s="37" t="n">
        <v>0</v>
      </c>
      <c r="K416" s="37" t="n">
        <v>0</v>
      </c>
      <c r="L416" s="37" t="n">
        <v>0</v>
      </c>
      <c r="M416" s="37" t="n">
        <f aca="false">L416*104/100</f>
        <v>0</v>
      </c>
      <c r="N416" s="37" t="n">
        <v>0</v>
      </c>
      <c r="O416" s="33" t="n">
        <v>0</v>
      </c>
      <c r="P416" s="33" t="n">
        <v>0</v>
      </c>
      <c r="Q416" s="33" t="n">
        <v>0</v>
      </c>
      <c r="R416" s="37" t="n">
        <v>0</v>
      </c>
      <c r="T416" s="49"/>
      <c r="U416" s="49"/>
      <c r="V416" s="49"/>
      <c r="W416" s="44"/>
    </row>
    <row r="417" s="42" customFormat="true" ht="37.3" hidden="false" customHeight="true" outlineLevel="0" collapsed="false">
      <c r="A417" s="64"/>
      <c r="B417" s="54"/>
      <c r="C417" s="31" t="s">
        <v>34</v>
      </c>
      <c r="D417" s="36"/>
      <c r="E417" s="36"/>
      <c r="F417" s="37" t="n">
        <v>0</v>
      </c>
      <c r="G417" s="37" t="n">
        <v>0</v>
      </c>
      <c r="H417" s="37" t="n">
        <v>0</v>
      </c>
      <c r="I417" s="37" t="n">
        <v>0</v>
      </c>
      <c r="J417" s="37" t="n">
        <v>0</v>
      </c>
      <c r="K417" s="37" t="n">
        <v>0</v>
      </c>
      <c r="L417" s="37" t="n">
        <v>0</v>
      </c>
      <c r="M417" s="37" t="n">
        <f aca="false">L417*104/100</f>
        <v>0</v>
      </c>
      <c r="N417" s="37" t="n">
        <v>0</v>
      </c>
      <c r="O417" s="33" t="n">
        <v>0</v>
      </c>
      <c r="P417" s="33" t="n">
        <v>0</v>
      </c>
      <c r="Q417" s="33" t="n">
        <v>0</v>
      </c>
      <c r="R417" s="37" t="n">
        <v>0</v>
      </c>
      <c r="T417" s="49"/>
      <c r="U417" s="49"/>
      <c r="V417" s="49"/>
      <c r="W417" s="44"/>
    </row>
    <row r="418" s="42" customFormat="true" ht="31.3" hidden="false" customHeight="true" outlineLevel="0" collapsed="false">
      <c r="A418" s="64"/>
      <c r="B418" s="54"/>
      <c r="C418" s="31" t="s">
        <v>35</v>
      </c>
      <c r="D418" s="36"/>
      <c r="E418" s="36"/>
      <c r="F418" s="37" t="n">
        <v>0</v>
      </c>
      <c r="G418" s="37" t="n">
        <v>0</v>
      </c>
      <c r="H418" s="37" t="n">
        <v>0</v>
      </c>
      <c r="I418" s="37" t="n">
        <v>0</v>
      </c>
      <c r="J418" s="37" t="n">
        <v>0</v>
      </c>
      <c r="K418" s="37" t="n">
        <v>0</v>
      </c>
      <c r="L418" s="37" t="n">
        <v>0</v>
      </c>
      <c r="M418" s="37" t="n">
        <f aca="false">L418*104/100</f>
        <v>0</v>
      </c>
      <c r="N418" s="37" t="n">
        <v>0</v>
      </c>
      <c r="O418" s="33" t="n">
        <v>0</v>
      </c>
      <c r="P418" s="33" t="n">
        <v>0</v>
      </c>
      <c r="Q418" s="33" t="n">
        <v>0</v>
      </c>
      <c r="R418" s="37" t="n">
        <v>0</v>
      </c>
      <c r="T418" s="49"/>
      <c r="U418" s="49"/>
      <c r="V418" s="49"/>
      <c r="W418" s="44"/>
    </row>
    <row r="419" s="42" customFormat="true" ht="71.6" hidden="false" customHeight="true" outlineLevel="0" collapsed="false">
      <c r="A419" s="64"/>
      <c r="B419" s="54"/>
      <c r="C419" s="31" t="s">
        <v>36</v>
      </c>
      <c r="D419" s="36"/>
      <c r="E419" s="36"/>
      <c r="F419" s="37" t="n">
        <v>0</v>
      </c>
      <c r="G419" s="37" t="n">
        <v>0</v>
      </c>
      <c r="H419" s="37" t="n">
        <v>0</v>
      </c>
      <c r="I419" s="37" t="n">
        <v>0</v>
      </c>
      <c r="J419" s="37" t="n">
        <v>0</v>
      </c>
      <c r="K419" s="37" t="n">
        <v>0</v>
      </c>
      <c r="L419" s="37" t="n">
        <v>0</v>
      </c>
      <c r="M419" s="37" t="n">
        <f aca="false">L419*104/100</f>
        <v>0</v>
      </c>
      <c r="N419" s="37" t="n">
        <v>0</v>
      </c>
      <c r="O419" s="33" t="n">
        <v>0</v>
      </c>
      <c r="P419" s="33" t="n">
        <v>0</v>
      </c>
      <c r="Q419" s="33" t="n">
        <v>0</v>
      </c>
      <c r="R419" s="37" t="n">
        <v>0</v>
      </c>
      <c r="T419" s="49"/>
      <c r="U419" s="49"/>
      <c r="V419" s="49"/>
      <c r="W419" s="44"/>
    </row>
    <row r="420" s="42" customFormat="true" ht="19.4" hidden="false" customHeight="true" outlineLevel="0" collapsed="false">
      <c r="A420" s="40" t="s">
        <v>162</v>
      </c>
      <c r="B420" s="41" t="s">
        <v>163</v>
      </c>
      <c r="C420" s="62" t="s">
        <v>30</v>
      </c>
      <c r="D420" s="36" t="s">
        <v>42</v>
      </c>
      <c r="E420" s="36" t="s">
        <v>153</v>
      </c>
      <c r="F420" s="37" t="n">
        <f aca="false">SUM(G420:R420)</f>
        <v>295199.8615</v>
      </c>
      <c r="G420" s="37" t="n">
        <f aca="false">SUM(G421:G426)</f>
        <v>0</v>
      </c>
      <c r="H420" s="37" t="n">
        <f aca="false">SUM(H421:H426)</f>
        <v>0</v>
      </c>
      <c r="I420" s="37" t="n">
        <f aca="false">SUM(I421:I426)</f>
        <v>0</v>
      </c>
      <c r="J420" s="37" t="n">
        <f aca="false">SUM(J421:J426)</f>
        <v>0</v>
      </c>
      <c r="K420" s="37" t="n">
        <f aca="false">SUM(K421:K426)</f>
        <v>0</v>
      </c>
      <c r="L420" s="37" t="n">
        <f aca="false">SUM(L421:L426)</f>
        <v>0</v>
      </c>
      <c r="M420" s="37" t="n">
        <f aca="false">SUM(M421:M426)</f>
        <v>201066.36364</v>
      </c>
      <c r="N420" s="37" t="n">
        <f aca="false">SUM(N421:N426)</f>
        <v>94133.49786</v>
      </c>
      <c r="O420" s="37" t="n">
        <f aca="false">SUM(O421:O426)</f>
        <v>0</v>
      </c>
      <c r="P420" s="37" t="n">
        <f aca="false">SUM(P421:P426)</f>
        <v>0</v>
      </c>
      <c r="Q420" s="37" t="n">
        <f aca="false">SUM(Q421:Q426)</f>
        <v>0</v>
      </c>
      <c r="R420" s="37" t="n">
        <f aca="false">SUM(R421:R426)</f>
        <v>0</v>
      </c>
      <c r="T420" s="49"/>
      <c r="U420" s="49"/>
      <c r="V420" s="49"/>
      <c r="W420" s="44"/>
    </row>
    <row r="421" s="42" customFormat="true" ht="38.8" hidden="false" customHeight="true" outlineLevel="0" collapsed="false">
      <c r="A421" s="40"/>
      <c r="B421" s="41"/>
      <c r="C421" s="62" t="s">
        <v>31</v>
      </c>
      <c r="D421" s="36"/>
      <c r="E421" s="36"/>
      <c r="F421" s="37" t="n">
        <f aca="false">SUM(G421:R421)</f>
        <v>291501.4</v>
      </c>
      <c r="G421" s="37" t="n">
        <v>0</v>
      </c>
      <c r="H421" s="37" t="n">
        <v>0</v>
      </c>
      <c r="I421" s="37" t="n">
        <v>0</v>
      </c>
      <c r="J421" s="37" t="n">
        <v>0</v>
      </c>
      <c r="K421" s="37" t="n">
        <v>0</v>
      </c>
      <c r="L421" s="37" t="n">
        <v>0</v>
      </c>
      <c r="M421" s="37" t="n">
        <f aca="false">M428+M435</f>
        <v>199055.7</v>
      </c>
      <c r="N421" s="37" t="n">
        <f aca="false">N428+N435</f>
        <v>92445.7</v>
      </c>
      <c r="O421" s="37" t="n">
        <f aca="false">O428+O435</f>
        <v>0</v>
      </c>
      <c r="P421" s="37" t="n">
        <f aca="false">P428+P435</f>
        <v>0</v>
      </c>
      <c r="Q421" s="37" t="n">
        <f aca="false">Q428+Q435</f>
        <v>0</v>
      </c>
      <c r="R421" s="37" t="n">
        <f aca="false">R428+R435</f>
        <v>0</v>
      </c>
      <c r="T421" s="49"/>
      <c r="U421" s="49"/>
      <c r="V421" s="49"/>
      <c r="W421" s="44"/>
    </row>
    <row r="422" s="42" customFormat="true" ht="28.35" hidden="false" customHeight="true" outlineLevel="0" collapsed="false">
      <c r="A422" s="40"/>
      <c r="B422" s="41"/>
      <c r="C422" s="62" t="s">
        <v>32</v>
      </c>
      <c r="D422" s="36"/>
      <c r="E422" s="36"/>
      <c r="F422" s="37" t="n">
        <f aca="false">SUM(G422:R422)</f>
        <v>2944.46564</v>
      </c>
      <c r="G422" s="37" t="n">
        <v>0</v>
      </c>
      <c r="H422" s="37" t="n">
        <v>0</v>
      </c>
      <c r="I422" s="37" t="n">
        <v>0</v>
      </c>
      <c r="J422" s="37" t="n">
        <v>0</v>
      </c>
      <c r="K422" s="37" t="n">
        <v>0</v>
      </c>
      <c r="L422" s="37" t="n">
        <v>0</v>
      </c>
      <c r="M422" s="37" t="n">
        <f aca="false">M429+M436</f>
        <v>2010.66364</v>
      </c>
      <c r="N422" s="37" t="n">
        <f aca="false">N429+N436</f>
        <v>933.802</v>
      </c>
      <c r="O422" s="37" t="n">
        <f aca="false">O429+O436</f>
        <v>0</v>
      </c>
      <c r="P422" s="37" t="n">
        <f aca="false">P429+P436</f>
        <v>0</v>
      </c>
      <c r="Q422" s="37" t="n">
        <f aca="false">Q429+Q436</f>
        <v>0</v>
      </c>
      <c r="R422" s="37" t="n">
        <f aca="false">R429+R436</f>
        <v>0</v>
      </c>
      <c r="T422" s="49"/>
      <c r="U422" s="49"/>
      <c r="V422" s="49"/>
      <c r="W422" s="44"/>
    </row>
    <row r="423" s="42" customFormat="true" ht="25.35" hidden="false" customHeight="true" outlineLevel="0" collapsed="false">
      <c r="A423" s="40"/>
      <c r="B423" s="41"/>
      <c r="C423" s="62" t="s">
        <v>33</v>
      </c>
      <c r="D423" s="36"/>
      <c r="E423" s="36"/>
      <c r="F423" s="37" t="n">
        <f aca="false">SUM(G423:R423)</f>
        <v>753.99586</v>
      </c>
      <c r="G423" s="37" t="n">
        <v>0</v>
      </c>
      <c r="H423" s="37" t="n">
        <v>0</v>
      </c>
      <c r="I423" s="37" t="n">
        <v>0</v>
      </c>
      <c r="J423" s="37" t="n">
        <v>0</v>
      </c>
      <c r="K423" s="37" t="n">
        <v>0</v>
      </c>
      <c r="L423" s="37" t="n">
        <v>0</v>
      </c>
      <c r="M423" s="37" t="n">
        <f aca="false">M430+M437</f>
        <v>0</v>
      </c>
      <c r="N423" s="37" t="n">
        <f aca="false">N430+N437</f>
        <v>753.99586</v>
      </c>
      <c r="O423" s="37" t="n">
        <f aca="false">O430+O437</f>
        <v>0</v>
      </c>
      <c r="P423" s="37" t="n">
        <f aca="false">P430+P437</f>
        <v>0</v>
      </c>
      <c r="Q423" s="37" t="n">
        <f aca="false">Q430+Q437</f>
        <v>0</v>
      </c>
      <c r="R423" s="37" t="n">
        <f aca="false">R430+R437</f>
        <v>0</v>
      </c>
      <c r="T423" s="49"/>
      <c r="U423" s="49"/>
      <c r="V423" s="49"/>
      <c r="W423" s="44"/>
    </row>
    <row r="424" s="42" customFormat="true" ht="38.8" hidden="false" customHeight="true" outlineLevel="0" collapsed="false">
      <c r="A424" s="40"/>
      <c r="B424" s="41"/>
      <c r="C424" s="62" t="s">
        <v>34</v>
      </c>
      <c r="D424" s="36"/>
      <c r="E424" s="36"/>
      <c r="F424" s="37" t="n">
        <f aca="false">SUM(G424:R424)</f>
        <v>0</v>
      </c>
      <c r="G424" s="37" t="n">
        <v>0</v>
      </c>
      <c r="H424" s="37" t="n">
        <v>0</v>
      </c>
      <c r="I424" s="37" t="n">
        <v>0</v>
      </c>
      <c r="J424" s="37" t="n">
        <v>0</v>
      </c>
      <c r="K424" s="37" t="n">
        <v>0</v>
      </c>
      <c r="L424" s="37" t="n">
        <v>0</v>
      </c>
      <c r="M424" s="37" t="n">
        <f aca="false">M431+M438</f>
        <v>0</v>
      </c>
      <c r="N424" s="37" t="n">
        <v>0</v>
      </c>
      <c r="O424" s="37" t="n">
        <v>0</v>
      </c>
      <c r="P424" s="37" t="n">
        <v>0</v>
      </c>
      <c r="Q424" s="37" t="n">
        <v>0</v>
      </c>
      <c r="R424" s="37" t="n">
        <v>0</v>
      </c>
      <c r="T424" s="49"/>
      <c r="U424" s="49"/>
      <c r="V424" s="49"/>
      <c r="W424" s="44"/>
    </row>
    <row r="425" s="42" customFormat="true" ht="31.3" hidden="false" customHeight="true" outlineLevel="0" collapsed="false">
      <c r="A425" s="40"/>
      <c r="B425" s="41"/>
      <c r="C425" s="62" t="s">
        <v>35</v>
      </c>
      <c r="D425" s="36"/>
      <c r="E425" s="36"/>
      <c r="F425" s="37" t="n">
        <f aca="false">SUM(G425:R425)</f>
        <v>0</v>
      </c>
      <c r="G425" s="37" t="n">
        <v>0</v>
      </c>
      <c r="H425" s="37" t="n">
        <v>0</v>
      </c>
      <c r="I425" s="37" t="n">
        <v>0</v>
      </c>
      <c r="J425" s="37" t="n">
        <v>0</v>
      </c>
      <c r="K425" s="37" t="n">
        <v>0</v>
      </c>
      <c r="L425" s="37" t="n">
        <v>0</v>
      </c>
      <c r="M425" s="37" t="n">
        <f aca="false">M432+M439</f>
        <v>0</v>
      </c>
      <c r="N425" s="37" t="n">
        <v>0</v>
      </c>
      <c r="O425" s="37" t="n">
        <v>0</v>
      </c>
      <c r="P425" s="37" t="n">
        <v>0</v>
      </c>
      <c r="Q425" s="37" t="n">
        <v>0</v>
      </c>
      <c r="R425" s="37" t="n">
        <v>0</v>
      </c>
      <c r="T425" s="49"/>
      <c r="U425" s="49"/>
      <c r="V425" s="49"/>
      <c r="W425" s="44"/>
    </row>
    <row r="426" s="42" customFormat="true" ht="76.1" hidden="false" customHeight="true" outlineLevel="0" collapsed="false">
      <c r="A426" s="40"/>
      <c r="B426" s="41"/>
      <c r="C426" s="62" t="s">
        <v>36</v>
      </c>
      <c r="D426" s="36"/>
      <c r="E426" s="36"/>
      <c r="F426" s="37" t="n">
        <f aca="false">SUM(G426:R426)</f>
        <v>0</v>
      </c>
      <c r="G426" s="37" t="n">
        <v>0</v>
      </c>
      <c r="H426" s="37" t="n">
        <v>0</v>
      </c>
      <c r="I426" s="37" t="n">
        <v>0</v>
      </c>
      <c r="J426" s="37" t="n">
        <v>0</v>
      </c>
      <c r="K426" s="37" t="n">
        <v>0</v>
      </c>
      <c r="L426" s="37" t="n">
        <v>0</v>
      </c>
      <c r="M426" s="37" t="n">
        <v>0</v>
      </c>
      <c r="N426" s="37" t="n">
        <v>0</v>
      </c>
      <c r="O426" s="37" t="n">
        <v>0</v>
      </c>
      <c r="P426" s="37" t="n">
        <v>0</v>
      </c>
      <c r="Q426" s="37" t="n">
        <v>0</v>
      </c>
      <c r="R426" s="37" t="n">
        <v>0</v>
      </c>
      <c r="T426" s="49"/>
      <c r="U426" s="49"/>
      <c r="V426" s="49"/>
      <c r="W426" s="44"/>
    </row>
    <row r="427" s="42" customFormat="true" ht="20.35" hidden="false" customHeight="true" outlineLevel="0" collapsed="false">
      <c r="A427" s="40" t="s">
        <v>164</v>
      </c>
      <c r="B427" s="54" t="s">
        <v>165</v>
      </c>
      <c r="C427" s="62" t="s">
        <v>30</v>
      </c>
      <c r="D427" s="36" t="s">
        <v>42</v>
      </c>
      <c r="E427" s="36" t="s">
        <v>153</v>
      </c>
      <c r="F427" s="37" t="n">
        <f aca="false">SUM(F428:F433)</f>
        <v>283501.1715</v>
      </c>
      <c r="G427" s="37" t="n">
        <f aca="false">SUM(G428:G433)</f>
        <v>0</v>
      </c>
      <c r="H427" s="37" t="n">
        <f aca="false">SUM(H428:H433)</f>
        <v>0</v>
      </c>
      <c r="I427" s="37" t="n">
        <f aca="false">SUM(I428:I433)</f>
        <v>0</v>
      </c>
      <c r="J427" s="37" t="n">
        <f aca="false">SUM(J428:J433)</f>
        <v>0</v>
      </c>
      <c r="K427" s="37" t="n">
        <f aca="false">SUM(K428:K433)</f>
        <v>0</v>
      </c>
      <c r="L427" s="37" t="n">
        <f aca="false">SUM(L428:L433)</f>
        <v>0</v>
      </c>
      <c r="M427" s="37" t="n">
        <f aca="false">SUM(M428:M433)</f>
        <v>201066.36364</v>
      </c>
      <c r="N427" s="37" t="n">
        <f aca="false">SUM(N428:N433)</f>
        <v>82434.80786</v>
      </c>
      <c r="O427" s="37" t="n">
        <f aca="false">SUM(O428:O433)</f>
        <v>0</v>
      </c>
      <c r="P427" s="37" t="n">
        <f aca="false">SUM(P428:P433)</f>
        <v>0</v>
      </c>
      <c r="Q427" s="37" t="n">
        <f aca="false">SUM(Q428:Q433)</f>
        <v>0</v>
      </c>
      <c r="R427" s="37" t="n">
        <f aca="false">SUM(R428:R433)</f>
        <v>0</v>
      </c>
      <c r="T427" s="49"/>
      <c r="U427" s="49"/>
      <c r="V427" s="49"/>
      <c r="W427" s="44"/>
    </row>
    <row r="428" s="42" customFormat="true" ht="40.25" hidden="false" customHeight="true" outlineLevel="0" collapsed="false">
      <c r="A428" s="40"/>
      <c r="B428" s="54"/>
      <c r="C428" s="62" t="s">
        <v>31</v>
      </c>
      <c r="D428" s="36"/>
      <c r="E428" s="36"/>
      <c r="F428" s="37" t="n">
        <f aca="false">SUM(G428:R428)</f>
        <v>279919.7</v>
      </c>
      <c r="G428" s="37" t="n">
        <v>0</v>
      </c>
      <c r="H428" s="37" t="n">
        <v>0</v>
      </c>
      <c r="I428" s="37" t="n">
        <v>0</v>
      </c>
      <c r="J428" s="37" t="n">
        <v>0</v>
      </c>
      <c r="K428" s="37" t="n">
        <v>0</v>
      </c>
      <c r="L428" s="37" t="n">
        <v>0</v>
      </c>
      <c r="M428" s="37" t="n">
        <v>199055.7</v>
      </c>
      <c r="N428" s="37" t="n">
        <v>80864</v>
      </c>
      <c r="O428" s="37" t="n">
        <v>0</v>
      </c>
      <c r="P428" s="37" t="n">
        <v>0</v>
      </c>
      <c r="Q428" s="37" t="n">
        <v>0</v>
      </c>
      <c r="R428" s="37" t="n">
        <v>0</v>
      </c>
      <c r="T428" s="49"/>
      <c r="U428" s="49"/>
      <c r="V428" s="49"/>
      <c r="W428" s="44"/>
    </row>
    <row r="429" s="42" customFormat="true" ht="32.05" hidden="false" customHeight="true" outlineLevel="0" collapsed="false">
      <c r="A429" s="40"/>
      <c r="B429" s="54"/>
      <c r="C429" s="62" t="s">
        <v>32</v>
      </c>
      <c r="D429" s="36"/>
      <c r="E429" s="36"/>
      <c r="F429" s="37" t="n">
        <f aca="false">SUM(G429:R429)</f>
        <v>2827.47564</v>
      </c>
      <c r="G429" s="37" t="n">
        <v>0</v>
      </c>
      <c r="H429" s="37" t="n">
        <v>0</v>
      </c>
      <c r="I429" s="37" t="n">
        <v>0</v>
      </c>
      <c r="J429" s="37" t="n">
        <v>0</v>
      </c>
      <c r="K429" s="37" t="n">
        <v>0</v>
      </c>
      <c r="L429" s="37" t="n">
        <v>0</v>
      </c>
      <c r="M429" s="37" t="n">
        <v>2010.66364</v>
      </c>
      <c r="N429" s="37" t="n">
        <v>816.812</v>
      </c>
      <c r="O429" s="37" t="n">
        <v>0</v>
      </c>
      <c r="P429" s="37" t="n">
        <v>0</v>
      </c>
      <c r="Q429" s="37" t="n">
        <v>0</v>
      </c>
      <c r="R429" s="37" t="n">
        <v>0</v>
      </c>
      <c r="T429" s="49"/>
      <c r="U429" s="49"/>
      <c r="V429" s="49"/>
      <c r="W429" s="44"/>
    </row>
    <row r="430" s="42" customFormat="true" ht="26.85" hidden="false" customHeight="true" outlineLevel="0" collapsed="false">
      <c r="A430" s="40"/>
      <c r="B430" s="54"/>
      <c r="C430" s="62" t="s">
        <v>33</v>
      </c>
      <c r="D430" s="36"/>
      <c r="E430" s="36"/>
      <c r="F430" s="37" t="n">
        <f aca="false">SUM(G430:R430)</f>
        <v>753.99586</v>
      </c>
      <c r="G430" s="37" t="n">
        <v>0</v>
      </c>
      <c r="H430" s="37" t="n">
        <v>0</v>
      </c>
      <c r="I430" s="37" t="n">
        <v>0</v>
      </c>
      <c r="J430" s="37" t="n">
        <v>0</v>
      </c>
      <c r="K430" s="37" t="n">
        <v>0</v>
      </c>
      <c r="L430" s="37" t="n">
        <v>0</v>
      </c>
      <c r="M430" s="37" t="n">
        <v>0</v>
      </c>
      <c r="N430" s="37" t="n">
        <v>753.99586</v>
      </c>
      <c r="O430" s="37" t="n">
        <v>0</v>
      </c>
      <c r="P430" s="37" t="n">
        <v>0</v>
      </c>
      <c r="Q430" s="37" t="n">
        <v>0</v>
      </c>
      <c r="R430" s="37" t="n">
        <v>0</v>
      </c>
      <c r="T430" s="49"/>
      <c r="U430" s="49"/>
      <c r="V430" s="49"/>
      <c r="W430" s="44"/>
    </row>
    <row r="431" s="42" customFormat="true" ht="41" hidden="false" customHeight="true" outlineLevel="0" collapsed="false">
      <c r="A431" s="40"/>
      <c r="B431" s="54"/>
      <c r="C431" s="62" t="s">
        <v>34</v>
      </c>
      <c r="D431" s="36"/>
      <c r="E431" s="36"/>
      <c r="F431" s="37" t="n">
        <f aca="false">SUM(G431:R431)</f>
        <v>0</v>
      </c>
      <c r="G431" s="37" t="n">
        <v>0</v>
      </c>
      <c r="H431" s="37" t="n">
        <v>0</v>
      </c>
      <c r="I431" s="37" t="n">
        <v>0</v>
      </c>
      <c r="J431" s="37" t="n">
        <v>0</v>
      </c>
      <c r="K431" s="37" t="n">
        <v>0</v>
      </c>
      <c r="L431" s="37" t="n">
        <v>0</v>
      </c>
      <c r="M431" s="37" t="n">
        <v>0</v>
      </c>
      <c r="N431" s="37" t="n">
        <v>0</v>
      </c>
      <c r="O431" s="37" t="n">
        <v>0</v>
      </c>
      <c r="P431" s="37" t="n">
        <v>0</v>
      </c>
      <c r="Q431" s="37" t="n">
        <v>0</v>
      </c>
      <c r="R431" s="37" t="n">
        <v>0</v>
      </c>
      <c r="T431" s="49"/>
      <c r="U431" s="49"/>
      <c r="V431" s="49"/>
      <c r="W431" s="44"/>
    </row>
    <row r="432" s="42" customFormat="true" ht="31.3" hidden="false" customHeight="true" outlineLevel="0" collapsed="false">
      <c r="A432" s="40"/>
      <c r="B432" s="54"/>
      <c r="C432" s="62" t="s">
        <v>35</v>
      </c>
      <c r="D432" s="36"/>
      <c r="E432" s="36"/>
      <c r="F432" s="37" t="n">
        <f aca="false">SUM(G432:R432)</f>
        <v>0</v>
      </c>
      <c r="G432" s="37" t="n">
        <v>0</v>
      </c>
      <c r="H432" s="37" t="n">
        <v>0</v>
      </c>
      <c r="I432" s="37" t="n">
        <v>0</v>
      </c>
      <c r="J432" s="37" t="n">
        <v>0</v>
      </c>
      <c r="K432" s="37" t="n">
        <v>0</v>
      </c>
      <c r="L432" s="37" t="n">
        <v>0</v>
      </c>
      <c r="M432" s="37" t="n">
        <v>0</v>
      </c>
      <c r="N432" s="37" t="n">
        <v>0</v>
      </c>
      <c r="O432" s="37" t="n">
        <v>0</v>
      </c>
      <c r="P432" s="37" t="n">
        <v>0</v>
      </c>
      <c r="Q432" s="37" t="n">
        <v>0</v>
      </c>
      <c r="R432" s="37" t="n">
        <v>0</v>
      </c>
      <c r="T432" s="49"/>
      <c r="U432" s="49"/>
      <c r="V432" s="49"/>
      <c r="W432" s="44"/>
    </row>
    <row r="433" s="42" customFormat="true" ht="76.85" hidden="false" customHeight="true" outlineLevel="0" collapsed="false">
      <c r="A433" s="40"/>
      <c r="B433" s="54"/>
      <c r="C433" s="62" t="s">
        <v>36</v>
      </c>
      <c r="D433" s="36"/>
      <c r="E433" s="36"/>
      <c r="F433" s="37" t="n">
        <f aca="false">SUM(G433:R433)</f>
        <v>0</v>
      </c>
      <c r="G433" s="37" t="n">
        <v>0</v>
      </c>
      <c r="H433" s="37" t="n">
        <v>0</v>
      </c>
      <c r="I433" s="37" t="n">
        <v>0</v>
      </c>
      <c r="J433" s="37" t="n">
        <v>0</v>
      </c>
      <c r="K433" s="37" t="n">
        <v>0</v>
      </c>
      <c r="L433" s="37" t="n">
        <v>0</v>
      </c>
      <c r="M433" s="37" t="n">
        <v>0</v>
      </c>
      <c r="N433" s="37" t="n">
        <v>0</v>
      </c>
      <c r="O433" s="37" t="n">
        <v>0</v>
      </c>
      <c r="P433" s="37" t="n">
        <v>0</v>
      </c>
      <c r="Q433" s="37" t="n">
        <v>0</v>
      </c>
      <c r="R433" s="37" t="n">
        <v>0</v>
      </c>
      <c r="T433" s="49"/>
      <c r="U433" s="49"/>
      <c r="V433" s="49"/>
      <c r="W433" s="44"/>
    </row>
    <row r="434" s="42" customFormat="true" ht="19.4" hidden="false" customHeight="true" outlineLevel="0" collapsed="false">
      <c r="A434" s="40" t="s">
        <v>166</v>
      </c>
      <c r="B434" s="54" t="s">
        <v>167</v>
      </c>
      <c r="C434" s="62" t="s">
        <v>30</v>
      </c>
      <c r="D434" s="36" t="s">
        <v>42</v>
      </c>
      <c r="E434" s="36" t="s">
        <v>153</v>
      </c>
      <c r="F434" s="37" t="n">
        <f aca="false">SUM(F435:F440)</f>
        <v>11698.69</v>
      </c>
      <c r="G434" s="37" t="n">
        <f aca="false">SUM(G435:G440)</f>
        <v>0</v>
      </c>
      <c r="H434" s="37" t="n">
        <f aca="false">SUM(H435:H440)</f>
        <v>0</v>
      </c>
      <c r="I434" s="37" t="n">
        <f aca="false">SUM(I435:I440)</f>
        <v>0</v>
      </c>
      <c r="J434" s="37" t="n">
        <f aca="false">SUM(J435:J440)</f>
        <v>0</v>
      </c>
      <c r="K434" s="37" t="n">
        <f aca="false">SUM(K435:K440)</f>
        <v>0</v>
      </c>
      <c r="L434" s="37" t="n">
        <f aca="false">SUM(L435:L440)</f>
        <v>0</v>
      </c>
      <c r="M434" s="37" t="n">
        <f aca="false">SUM(M435:M440)</f>
        <v>0</v>
      </c>
      <c r="N434" s="37" t="n">
        <f aca="false">SUM(N435:N440)</f>
        <v>11698.69</v>
      </c>
      <c r="O434" s="37" t="n">
        <f aca="false">SUM(O435:O440)</f>
        <v>0</v>
      </c>
      <c r="P434" s="37" t="n">
        <f aca="false">SUM(P435:P440)</f>
        <v>0</v>
      </c>
      <c r="Q434" s="37" t="n">
        <f aca="false">SUM(Q435:Q440)</f>
        <v>0</v>
      </c>
      <c r="R434" s="37" t="n">
        <f aca="false">SUM(R435:R440)</f>
        <v>0</v>
      </c>
      <c r="T434" s="49"/>
      <c r="U434" s="49"/>
      <c r="V434" s="49"/>
      <c r="W434" s="44"/>
    </row>
    <row r="435" s="42" customFormat="true" ht="40.25" hidden="false" customHeight="true" outlineLevel="0" collapsed="false">
      <c r="A435" s="40"/>
      <c r="B435" s="54"/>
      <c r="C435" s="62" t="s">
        <v>31</v>
      </c>
      <c r="D435" s="36"/>
      <c r="E435" s="36"/>
      <c r="F435" s="37" t="n">
        <f aca="false">SUM(G435:R435)</f>
        <v>11581.7</v>
      </c>
      <c r="G435" s="37" t="n">
        <v>0</v>
      </c>
      <c r="H435" s="37" t="n">
        <v>0</v>
      </c>
      <c r="I435" s="37" t="n">
        <v>0</v>
      </c>
      <c r="J435" s="37" t="n">
        <v>0</v>
      </c>
      <c r="K435" s="37" t="n">
        <v>0</v>
      </c>
      <c r="L435" s="37" t="n">
        <v>0</v>
      </c>
      <c r="M435" s="37" t="n">
        <v>0</v>
      </c>
      <c r="N435" s="37" t="n">
        <v>11581.7</v>
      </c>
      <c r="O435" s="37" t="n">
        <v>0</v>
      </c>
      <c r="P435" s="37" t="n">
        <v>0</v>
      </c>
      <c r="Q435" s="37" t="n">
        <v>0</v>
      </c>
      <c r="R435" s="37" t="n">
        <v>0</v>
      </c>
      <c r="T435" s="49"/>
      <c r="U435" s="49"/>
      <c r="V435" s="49"/>
      <c r="W435" s="44"/>
    </row>
    <row r="436" s="42" customFormat="true" ht="24.85" hidden="false" customHeight="false" outlineLevel="0" collapsed="false">
      <c r="A436" s="40"/>
      <c r="B436" s="54"/>
      <c r="C436" s="62" t="s">
        <v>32</v>
      </c>
      <c r="D436" s="36"/>
      <c r="E436" s="36"/>
      <c r="F436" s="37" t="n">
        <f aca="false">SUM(G436:R436)</f>
        <v>116.99</v>
      </c>
      <c r="G436" s="37" t="n">
        <v>0</v>
      </c>
      <c r="H436" s="37" t="n">
        <v>0</v>
      </c>
      <c r="I436" s="37" t="n">
        <v>0</v>
      </c>
      <c r="J436" s="37" t="n">
        <v>0</v>
      </c>
      <c r="K436" s="37" t="n">
        <v>0</v>
      </c>
      <c r="L436" s="37" t="n">
        <v>0</v>
      </c>
      <c r="M436" s="37" t="n">
        <v>0</v>
      </c>
      <c r="N436" s="37" t="n">
        <v>116.99</v>
      </c>
      <c r="O436" s="37" t="n">
        <v>0</v>
      </c>
      <c r="P436" s="37" t="n">
        <v>0</v>
      </c>
      <c r="Q436" s="37" t="n">
        <v>0</v>
      </c>
      <c r="R436" s="37" t="n">
        <v>0</v>
      </c>
      <c r="T436" s="49"/>
      <c r="U436" s="49"/>
      <c r="V436" s="49"/>
      <c r="W436" s="44"/>
    </row>
    <row r="437" s="42" customFormat="true" ht="24.85" hidden="false" customHeight="false" outlineLevel="0" collapsed="false">
      <c r="A437" s="40"/>
      <c r="B437" s="54"/>
      <c r="C437" s="62" t="s">
        <v>33</v>
      </c>
      <c r="D437" s="36"/>
      <c r="E437" s="36"/>
      <c r="F437" s="37" t="n">
        <f aca="false">SUM(G437:R437)</f>
        <v>0</v>
      </c>
      <c r="G437" s="37" t="n">
        <v>0</v>
      </c>
      <c r="H437" s="37" t="n">
        <v>0</v>
      </c>
      <c r="I437" s="37" t="n">
        <v>0</v>
      </c>
      <c r="J437" s="37" t="n">
        <v>0</v>
      </c>
      <c r="K437" s="37" t="n">
        <v>0</v>
      </c>
      <c r="L437" s="37" t="n">
        <v>0</v>
      </c>
      <c r="M437" s="37" t="n">
        <v>0</v>
      </c>
      <c r="N437" s="37" t="n">
        <v>0</v>
      </c>
      <c r="O437" s="37" t="n">
        <v>0</v>
      </c>
      <c r="P437" s="37" t="n">
        <v>0</v>
      </c>
      <c r="Q437" s="37" t="n">
        <v>0</v>
      </c>
      <c r="R437" s="37" t="n">
        <v>0</v>
      </c>
      <c r="T437" s="49"/>
      <c r="U437" s="49"/>
      <c r="V437" s="49"/>
      <c r="W437" s="44"/>
    </row>
    <row r="438" s="42" customFormat="true" ht="35.8" hidden="false" customHeight="true" outlineLevel="0" collapsed="false">
      <c r="A438" s="40"/>
      <c r="B438" s="54"/>
      <c r="C438" s="62" t="s">
        <v>34</v>
      </c>
      <c r="D438" s="36"/>
      <c r="E438" s="36"/>
      <c r="F438" s="37" t="n">
        <f aca="false">SUM(G438:R438)</f>
        <v>0</v>
      </c>
      <c r="G438" s="37" t="n">
        <v>0</v>
      </c>
      <c r="H438" s="37" t="n">
        <v>0</v>
      </c>
      <c r="I438" s="37" t="n">
        <v>0</v>
      </c>
      <c r="J438" s="37" t="n">
        <v>0</v>
      </c>
      <c r="K438" s="37" t="n">
        <v>0</v>
      </c>
      <c r="L438" s="37" t="n">
        <v>0</v>
      </c>
      <c r="M438" s="37" t="n">
        <v>0</v>
      </c>
      <c r="N438" s="37" t="n">
        <v>0</v>
      </c>
      <c r="O438" s="37" t="n">
        <v>0</v>
      </c>
      <c r="P438" s="37" t="n">
        <v>0</v>
      </c>
      <c r="Q438" s="37" t="n">
        <v>0</v>
      </c>
      <c r="R438" s="37" t="n">
        <v>0</v>
      </c>
      <c r="T438" s="49"/>
      <c r="U438" s="49"/>
      <c r="V438" s="49"/>
      <c r="W438" s="44"/>
    </row>
    <row r="439" s="42" customFormat="true" ht="29.1" hidden="false" customHeight="true" outlineLevel="0" collapsed="false">
      <c r="A439" s="40"/>
      <c r="B439" s="54"/>
      <c r="C439" s="62" t="s">
        <v>35</v>
      </c>
      <c r="D439" s="36"/>
      <c r="E439" s="36"/>
      <c r="F439" s="37" t="n">
        <f aca="false">SUM(G439:R439)</f>
        <v>0</v>
      </c>
      <c r="G439" s="37" t="n">
        <v>0</v>
      </c>
      <c r="H439" s="37" t="n">
        <v>0</v>
      </c>
      <c r="I439" s="37" t="n">
        <v>0</v>
      </c>
      <c r="J439" s="37" t="n">
        <v>0</v>
      </c>
      <c r="K439" s="37" t="n">
        <v>0</v>
      </c>
      <c r="L439" s="37" t="n">
        <v>0</v>
      </c>
      <c r="M439" s="37" t="n">
        <v>0</v>
      </c>
      <c r="N439" s="37" t="n">
        <v>0</v>
      </c>
      <c r="O439" s="37" t="n">
        <v>0</v>
      </c>
      <c r="P439" s="37" t="n">
        <v>0</v>
      </c>
      <c r="Q439" s="37" t="n">
        <v>0</v>
      </c>
      <c r="R439" s="37" t="n">
        <v>0</v>
      </c>
      <c r="T439" s="49"/>
      <c r="U439" s="49"/>
      <c r="V439" s="49"/>
      <c r="W439" s="44"/>
    </row>
    <row r="440" s="42" customFormat="true" ht="74.6" hidden="false" customHeight="true" outlineLevel="0" collapsed="false">
      <c r="A440" s="40"/>
      <c r="B440" s="54"/>
      <c r="C440" s="62" t="s">
        <v>36</v>
      </c>
      <c r="D440" s="36"/>
      <c r="E440" s="36"/>
      <c r="F440" s="37" t="n">
        <f aca="false">SUM(G440:R440)</f>
        <v>0</v>
      </c>
      <c r="G440" s="37" t="n">
        <v>0</v>
      </c>
      <c r="H440" s="37" t="n">
        <v>0</v>
      </c>
      <c r="I440" s="37" t="n">
        <v>0</v>
      </c>
      <c r="J440" s="37" t="n">
        <v>0</v>
      </c>
      <c r="K440" s="37" t="n">
        <v>0</v>
      </c>
      <c r="L440" s="37" t="n">
        <v>0</v>
      </c>
      <c r="M440" s="37" t="n">
        <v>0</v>
      </c>
      <c r="N440" s="37" t="n">
        <v>0</v>
      </c>
      <c r="O440" s="37" t="n">
        <v>0</v>
      </c>
      <c r="P440" s="37" t="n">
        <v>0</v>
      </c>
      <c r="Q440" s="37" t="n">
        <v>0</v>
      </c>
      <c r="R440" s="37" t="n">
        <v>0</v>
      </c>
      <c r="T440" s="49"/>
      <c r="U440" s="49"/>
      <c r="V440" s="49"/>
      <c r="W440" s="44"/>
    </row>
    <row r="441" s="42" customFormat="true" ht="18.65" hidden="false" customHeight="true" outlineLevel="0" collapsed="false">
      <c r="A441" s="77" t="s">
        <v>168</v>
      </c>
      <c r="B441" s="61" t="s">
        <v>169</v>
      </c>
      <c r="C441" s="31" t="s">
        <v>30</v>
      </c>
      <c r="D441" s="36"/>
      <c r="E441" s="36"/>
      <c r="F441" s="37" t="n">
        <f aca="false">SUM(G441:R441)</f>
        <v>149826.6509</v>
      </c>
      <c r="G441" s="37" t="n">
        <f aca="false">G449+G456+G463</f>
        <v>948.4</v>
      </c>
      <c r="H441" s="37" t="n">
        <f aca="false">H449+H456+H463</f>
        <v>1000</v>
      </c>
      <c r="I441" s="37" t="n">
        <f aca="false">I449+I456+I463</f>
        <v>1000</v>
      </c>
      <c r="J441" s="37" t="n">
        <f aca="false">J449+J456+J463</f>
        <v>1063</v>
      </c>
      <c r="K441" s="37" t="n">
        <f aca="false">K449+K456+K463</f>
        <v>1650</v>
      </c>
      <c r="L441" s="37" t="n">
        <f aca="false">L449+L456+L463</f>
        <v>1013.1719</v>
      </c>
      <c r="M441" s="37" t="n">
        <f aca="false">M449+M456+M463</f>
        <v>963.23</v>
      </c>
      <c r="N441" s="37" t="n">
        <f aca="false">N449+N456+N463+N470</f>
        <v>22101.297</v>
      </c>
      <c r="O441" s="37" t="n">
        <f aca="false">O449+O456+O463+O470</f>
        <v>21562.252</v>
      </c>
      <c r="P441" s="37" t="n">
        <f aca="false">P449+P456+P463+P470</f>
        <v>56175.1</v>
      </c>
      <c r="Q441" s="37" t="n">
        <f aca="false">Q449+Q456+Q463+Q470</f>
        <v>21175.1</v>
      </c>
      <c r="R441" s="37" t="n">
        <f aca="false">R449+R456+R463+R470</f>
        <v>21175.1</v>
      </c>
      <c r="T441" s="49"/>
      <c r="U441" s="49"/>
      <c r="V441" s="49"/>
      <c r="W441" s="44"/>
    </row>
    <row r="442" s="42" customFormat="true" ht="41" hidden="false" customHeight="true" outlineLevel="0" collapsed="false">
      <c r="A442" s="77"/>
      <c r="B442" s="61"/>
      <c r="C442" s="31" t="s">
        <v>31</v>
      </c>
      <c r="D442" s="36"/>
      <c r="E442" s="36"/>
      <c r="F442" s="37" t="n">
        <f aca="false">SUM(G442:R442)</f>
        <v>0</v>
      </c>
      <c r="G442" s="37" t="n">
        <v>0</v>
      </c>
      <c r="H442" s="37" t="n">
        <v>0</v>
      </c>
      <c r="I442" s="37" t="n">
        <v>0</v>
      </c>
      <c r="J442" s="37" t="n">
        <v>0</v>
      </c>
      <c r="K442" s="37" t="n">
        <v>0</v>
      </c>
      <c r="L442" s="37" t="n">
        <v>0</v>
      </c>
      <c r="M442" s="37" t="n">
        <f aca="false">L442*104/100</f>
        <v>0</v>
      </c>
      <c r="N442" s="37" t="n">
        <v>0</v>
      </c>
      <c r="O442" s="33" t="n">
        <v>0</v>
      </c>
      <c r="P442" s="33" t="n">
        <v>0</v>
      </c>
      <c r="Q442" s="33" t="n">
        <v>0</v>
      </c>
      <c r="R442" s="37" t="n">
        <v>0</v>
      </c>
      <c r="T442" s="49"/>
      <c r="U442" s="49"/>
      <c r="V442" s="49"/>
      <c r="W442" s="44"/>
    </row>
    <row r="443" s="42" customFormat="true" ht="29.85" hidden="false" customHeight="true" outlineLevel="0" collapsed="false">
      <c r="A443" s="77"/>
      <c r="B443" s="61"/>
      <c r="C443" s="31" t="s">
        <v>32</v>
      </c>
      <c r="D443" s="36" t="s">
        <v>42</v>
      </c>
      <c r="E443" s="36" t="s">
        <v>170</v>
      </c>
      <c r="F443" s="37" t="n">
        <f aca="false">SUM(G443:R443)</f>
        <v>149826.6509</v>
      </c>
      <c r="G443" s="37" t="n">
        <f aca="false">G451+G458+G465</f>
        <v>948.4</v>
      </c>
      <c r="H443" s="37" t="n">
        <f aca="false">H451+H458+H465</f>
        <v>1000</v>
      </c>
      <c r="I443" s="37" t="n">
        <f aca="false">I451+I458+I465</f>
        <v>1000</v>
      </c>
      <c r="J443" s="37" t="n">
        <f aca="false">J451+J458+J465</f>
        <v>1063</v>
      </c>
      <c r="K443" s="37" t="n">
        <f aca="false">K451+K458+K465</f>
        <v>1650</v>
      </c>
      <c r="L443" s="37" t="n">
        <f aca="false">L451+L458+L465</f>
        <v>1013.1719</v>
      </c>
      <c r="M443" s="37" t="n">
        <f aca="false">M451+M458+M465</f>
        <v>963.23</v>
      </c>
      <c r="N443" s="37" t="n">
        <f aca="false">N451+N458+N465</f>
        <v>22101.297</v>
      </c>
      <c r="O443" s="37" t="n">
        <f aca="false">O451+O458+O465</f>
        <v>21562.252</v>
      </c>
      <c r="P443" s="37" t="n">
        <f aca="false">P451+P458+P465+P472</f>
        <v>56175.1</v>
      </c>
      <c r="Q443" s="37" t="n">
        <f aca="false">Q451+Q458+Q465</f>
        <v>21175.1</v>
      </c>
      <c r="R443" s="37" t="n">
        <f aca="false">R451+R458+R465</f>
        <v>21175.1</v>
      </c>
      <c r="T443" s="69" t="n">
        <f aca="false">56175.1-P443</f>
        <v>0</v>
      </c>
      <c r="U443" s="69" t="n">
        <f aca="false">21175.1-Q443</f>
        <v>0</v>
      </c>
      <c r="V443" s="69" t="n">
        <f aca="false">21175.1-R443</f>
        <v>0</v>
      </c>
      <c r="W443" s="44"/>
    </row>
    <row r="444" s="42" customFormat="true" ht="32.05" hidden="false" customHeight="true" outlineLevel="0" collapsed="false">
      <c r="A444" s="77"/>
      <c r="B444" s="61"/>
      <c r="C444" s="31" t="s">
        <v>32</v>
      </c>
      <c r="D444" s="36" t="s">
        <v>42</v>
      </c>
      <c r="E444" s="36" t="s">
        <v>170</v>
      </c>
      <c r="F444" s="37" t="n">
        <f aca="false">SUM(G444:R444)</f>
        <v>0</v>
      </c>
      <c r="G444" s="37" t="n">
        <v>0</v>
      </c>
      <c r="H444" s="37" t="n">
        <v>0</v>
      </c>
      <c r="I444" s="37" t="n">
        <v>0</v>
      </c>
      <c r="J444" s="37" t="n">
        <v>0</v>
      </c>
      <c r="K444" s="37" t="n">
        <v>0</v>
      </c>
      <c r="L444" s="37" t="n">
        <v>0</v>
      </c>
      <c r="M444" s="37" t="n">
        <v>0</v>
      </c>
      <c r="N444" s="37" t="n">
        <f aca="false">N472</f>
        <v>0</v>
      </c>
      <c r="O444" s="37" t="n">
        <f aca="false">O472</f>
        <v>0</v>
      </c>
      <c r="P444" s="37" t="n">
        <v>0</v>
      </c>
      <c r="Q444" s="37" t="n">
        <f aca="false">Q472</f>
        <v>0</v>
      </c>
      <c r="R444" s="37" t="n">
        <f aca="false">R472</f>
        <v>0</v>
      </c>
      <c r="T444" s="49"/>
      <c r="U444" s="49"/>
      <c r="V444" s="49"/>
      <c r="W444" s="44"/>
    </row>
    <row r="445" s="42" customFormat="true" ht="27.6" hidden="false" customHeight="true" outlineLevel="0" collapsed="false">
      <c r="A445" s="77"/>
      <c r="B445" s="61"/>
      <c r="C445" s="31" t="s">
        <v>33</v>
      </c>
      <c r="D445" s="36"/>
      <c r="E445" s="36"/>
      <c r="F445" s="37" t="n">
        <f aca="false">SUM(G445:R445)</f>
        <v>0</v>
      </c>
      <c r="G445" s="37" t="n">
        <f aca="false">G452+G459</f>
        <v>0</v>
      </c>
      <c r="H445" s="37" t="n">
        <f aca="false">H452+H459</f>
        <v>0</v>
      </c>
      <c r="I445" s="37" t="n">
        <f aca="false">I452+I459</f>
        <v>0</v>
      </c>
      <c r="J445" s="37" t="n">
        <f aca="false">J452+J459</f>
        <v>0</v>
      </c>
      <c r="K445" s="37" t="n">
        <f aca="false">K452+K459</f>
        <v>0</v>
      </c>
      <c r="L445" s="37" t="n">
        <f aca="false">L452+L459</f>
        <v>0</v>
      </c>
      <c r="M445" s="37" t="n">
        <f aca="false">L445*104/100</f>
        <v>0</v>
      </c>
      <c r="N445" s="37" t="n">
        <f aca="false">M445*104/100</f>
        <v>0</v>
      </c>
      <c r="O445" s="37" t="n">
        <f aca="false">N445*104/100</f>
        <v>0</v>
      </c>
      <c r="P445" s="37" t="n">
        <f aca="false">O445*104/100</f>
        <v>0</v>
      </c>
      <c r="Q445" s="37" t="n">
        <f aca="false">P445*104/100</f>
        <v>0</v>
      </c>
      <c r="R445" s="37" t="n">
        <f aca="false">Q445*104/100</f>
        <v>0</v>
      </c>
      <c r="T445" s="49"/>
      <c r="U445" s="49"/>
      <c r="V445" s="49"/>
      <c r="W445" s="44"/>
    </row>
    <row r="446" s="42" customFormat="true" ht="41" hidden="false" customHeight="true" outlineLevel="0" collapsed="false">
      <c r="A446" s="77"/>
      <c r="B446" s="61"/>
      <c r="C446" s="31" t="s">
        <v>34</v>
      </c>
      <c r="D446" s="36"/>
      <c r="E446" s="36"/>
      <c r="F446" s="37" t="n">
        <v>0</v>
      </c>
      <c r="G446" s="37" t="n">
        <v>0</v>
      </c>
      <c r="H446" s="37" t="n">
        <v>0</v>
      </c>
      <c r="I446" s="37" t="n">
        <v>0</v>
      </c>
      <c r="J446" s="37" t="n">
        <v>0</v>
      </c>
      <c r="K446" s="37" t="n">
        <v>0</v>
      </c>
      <c r="L446" s="37" t="n">
        <v>0</v>
      </c>
      <c r="M446" s="37" t="n">
        <f aca="false">L446*104/100</f>
        <v>0</v>
      </c>
      <c r="N446" s="37" t="n">
        <v>0</v>
      </c>
      <c r="O446" s="33" t="n">
        <v>0</v>
      </c>
      <c r="P446" s="33" t="n">
        <v>0</v>
      </c>
      <c r="Q446" s="33" t="n">
        <v>0</v>
      </c>
      <c r="R446" s="37" t="n">
        <v>0</v>
      </c>
      <c r="T446" s="49"/>
      <c r="U446" s="49"/>
      <c r="V446" s="49"/>
      <c r="W446" s="44"/>
    </row>
    <row r="447" s="42" customFormat="true" ht="28.35" hidden="false" customHeight="true" outlineLevel="0" collapsed="false">
      <c r="A447" s="77"/>
      <c r="B447" s="61"/>
      <c r="C447" s="31" t="s">
        <v>35</v>
      </c>
      <c r="D447" s="36"/>
      <c r="E447" s="36"/>
      <c r="F447" s="37" t="n">
        <v>0</v>
      </c>
      <c r="G447" s="37" t="n">
        <v>0</v>
      </c>
      <c r="H447" s="37" t="n">
        <v>0</v>
      </c>
      <c r="I447" s="37" t="n">
        <v>0</v>
      </c>
      <c r="J447" s="37" t="n">
        <v>0</v>
      </c>
      <c r="K447" s="37" t="n">
        <v>0</v>
      </c>
      <c r="L447" s="37" t="n">
        <v>0</v>
      </c>
      <c r="M447" s="37" t="n">
        <f aca="false">L447*104/100</f>
        <v>0</v>
      </c>
      <c r="N447" s="37" t="n">
        <v>0</v>
      </c>
      <c r="O447" s="33" t="n">
        <v>0</v>
      </c>
      <c r="P447" s="33" t="n">
        <v>0</v>
      </c>
      <c r="Q447" s="33" t="n">
        <v>0</v>
      </c>
      <c r="R447" s="37" t="n">
        <v>0</v>
      </c>
      <c r="T447" s="49"/>
      <c r="U447" s="49"/>
      <c r="V447" s="49"/>
      <c r="W447" s="44"/>
    </row>
    <row r="448" s="42" customFormat="true" ht="75.35" hidden="false" customHeight="true" outlineLevel="0" collapsed="false">
      <c r="A448" s="77"/>
      <c r="B448" s="61"/>
      <c r="C448" s="31" t="s">
        <v>36</v>
      </c>
      <c r="D448" s="36"/>
      <c r="E448" s="36"/>
      <c r="F448" s="37" t="n">
        <v>0</v>
      </c>
      <c r="G448" s="37" t="n">
        <v>0</v>
      </c>
      <c r="H448" s="37" t="n">
        <v>0</v>
      </c>
      <c r="I448" s="37" t="n">
        <v>0</v>
      </c>
      <c r="J448" s="37" t="n">
        <v>0</v>
      </c>
      <c r="K448" s="37" t="n">
        <v>0</v>
      </c>
      <c r="L448" s="37" t="n">
        <v>0</v>
      </c>
      <c r="M448" s="37" t="n">
        <f aca="false">L448*104/100</f>
        <v>0</v>
      </c>
      <c r="N448" s="37" t="n">
        <v>0</v>
      </c>
      <c r="O448" s="33" t="n">
        <v>0</v>
      </c>
      <c r="P448" s="33" t="n">
        <v>0</v>
      </c>
      <c r="Q448" s="33" t="n">
        <v>0</v>
      </c>
      <c r="R448" s="37" t="n">
        <v>0</v>
      </c>
      <c r="T448" s="49"/>
      <c r="U448" s="49"/>
      <c r="V448" s="49"/>
      <c r="W448" s="44"/>
    </row>
    <row r="449" s="42" customFormat="true" ht="19.4" hidden="false" customHeight="true" outlineLevel="0" collapsed="false">
      <c r="A449" s="64" t="s">
        <v>171</v>
      </c>
      <c r="B449" s="54" t="s">
        <v>172</v>
      </c>
      <c r="C449" s="31" t="s">
        <v>30</v>
      </c>
      <c r="D449" s="36" t="s">
        <v>42</v>
      </c>
      <c r="E449" s="36" t="s">
        <v>170</v>
      </c>
      <c r="F449" s="37" t="n">
        <f aca="false">SUM(G449:R449)</f>
        <v>11866.1519</v>
      </c>
      <c r="G449" s="37" t="n">
        <f aca="false">SUM(G450:G455)</f>
        <v>848.4</v>
      </c>
      <c r="H449" s="37" t="n">
        <f aca="false">SUM(H450:H455)</f>
        <v>1000</v>
      </c>
      <c r="I449" s="37" t="n">
        <f aca="false">SUM(I450:I455)</f>
        <v>1000</v>
      </c>
      <c r="J449" s="37" t="n">
        <f aca="false">SUM(J450:J455)</f>
        <v>1063</v>
      </c>
      <c r="K449" s="37" t="n">
        <f aca="false">SUM(K450:K455)</f>
        <v>1150</v>
      </c>
      <c r="L449" s="37" t="n">
        <f aca="false">SUM(L450:L455)</f>
        <v>1013.1719</v>
      </c>
      <c r="M449" s="37" t="n">
        <f aca="false">SUM(M450:M455)</f>
        <v>623.23</v>
      </c>
      <c r="N449" s="37" t="n">
        <f aca="false">SUM(N450:N455)</f>
        <v>613.2</v>
      </c>
      <c r="O449" s="37" t="n">
        <f aca="false">SUM(O450:O455)</f>
        <v>755.15</v>
      </c>
      <c r="P449" s="37" t="n">
        <f aca="false">SUM(P450:P455)</f>
        <v>2600</v>
      </c>
      <c r="Q449" s="37" t="n">
        <f aca="false">SUM(Q450:Q455)</f>
        <v>600</v>
      </c>
      <c r="R449" s="37" t="n">
        <f aca="false">SUM(R450:R455)</f>
        <v>600</v>
      </c>
      <c r="T449" s="49"/>
      <c r="U449" s="49"/>
      <c r="V449" s="49"/>
      <c r="W449" s="44"/>
    </row>
    <row r="450" s="42" customFormat="true" ht="44" hidden="false" customHeight="true" outlineLevel="0" collapsed="false">
      <c r="A450" s="64"/>
      <c r="B450" s="54"/>
      <c r="C450" s="31" t="s">
        <v>31</v>
      </c>
      <c r="D450" s="36"/>
      <c r="E450" s="36"/>
      <c r="F450" s="37" t="n">
        <f aca="false">SUM(G450:R450)</f>
        <v>0</v>
      </c>
      <c r="G450" s="37" t="n">
        <v>0</v>
      </c>
      <c r="H450" s="37" t="n">
        <v>0</v>
      </c>
      <c r="I450" s="37" t="n">
        <v>0</v>
      </c>
      <c r="J450" s="37" t="n">
        <v>0</v>
      </c>
      <c r="K450" s="37" t="n">
        <v>0</v>
      </c>
      <c r="L450" s="37" t="n">
        <v>0</v>
      </c>
      <c r="M450" s="37" t="n">
        <f aca="false">L450*104/100</f>
        <v>0</v>
      </c>
      <c r="N450" s="37" t="n">
        <v>0</v>
      </c>
      <c r="O450" s="33" t="n">
        <v>0</v>
      </c>
      <c r="P450" s="33" t="n">
        <v>0</v>
      </c>
      <c r="Q450" s="33" t="n">
        <v>0</v>
      </c>
      <c r="R450" s="37" t="n">
        <v>0</v>
      </c>
      <c r="T450" s="49"/>
      <c r="U450" s="49"/>
      <c r="V450" s="49"/>
      <c r="W450" s="44"/>
    </row>
    <row r="451" s="42" customFormat="true" ht="26.85" hidden="false" customHeight="true" outlineLevel="0" collapsed="false">
      <c r="A451" s="64"/>
      <c r="B451" s="54"/>
      <c r="C451" s="31" t="s">
        <v>32</v>
      </c>
      <c r="D451" s="36"/>
      <c r="E451" s="36"/>
      <c r="F451" s="37" t="n">
        <f aca="false">SUM(G451:R451)</f>
        <v>11866.1519</v>
      </c>
      <c r="G451" s="37" t="n">
        <v>848.4</v>
      </c>
      <c r="H451" s="37" t="n">
        <v>1000</v>
      </c>
      <c r="I451" s="37" t="n">
        <v>1000</v>
      </c>
      <c r="J451" s="37" t="n">
        <v>1063</v>
      </c>
      <c r="K451" s="37" t="n">
        <v>1150</v>
      </c>
      <c r="L451" s="37" t="n">
        <v>1013.1719</v>
      </c>
      <c r="M451" s="37" t="n">
        <v>623.23</v>
      </c>
      <c r="N451" s="37" t="n">
        <v>613.2</v>
      </c>
      <c r="O451" s="37" t="n">
        <v>755.15</v>
      </c>
      <c r="P451" s="37" t="n">
        <v>2600</v>
      </c>
      <c r="Q451" s="37" t="n">
        <v>600</v>
      </c>
      <c r="R451" s="37" t="n">
        <v>600</v>
      </c>
      <c r="T451" s="49"/>
      <c r="U451" s="49"/>
      <c r="V451" s="49"/>
      <c r="W451" s="44"/>
    </row>
    <row r="452" s="42" customFormat="true" ht="26.1" hidden="false" customHeight="true" outlineLevel="0" collapsed="false">
      <c r="A452" s="64"/>
      <c r="B452" s="54"/>
      <c r="C452" s="31" t="s">
        <v>33</v>
      </c>
      <c r="D452" s="36"/>
      <c r="E452" s="36"/>
      <c r="F452" s="37" t="n">
        <f aca="false">SUM(G452:I452)</f>
        <v>0</v>
      </c>
      <c r="G452" s="37" t="n">
        <v>0</v>
      </c>
      <c r="H452" s="37" t="n">
        <v>0</v>
      </c>
      <c r="I452" s="37" t="n">
        <v>0</v>
      </c>
      <c r="J452" s="37" t="n">
        <v>0</v>
      </c>
      <c r="K452" s="37" t="n">
        <v>0</v>
      </c>
      <c r="L452" s="37" t="n">
        <v>0</v>
      </c>
      <c r="M452" s="37" t="n">
        <f aca="false">L452*104/100</f>
        <v>0</v>
      </c>
      <c r="N452" s="37" t="n">
        <v>0</v>
      </c>
      <c r="O452" s="33" t="n">
        <v>0</v>
      </c>
      <c r="P452" s="33" t="n">
        <v>0</v>
      </c>
      <c r="Q452" s="33" t="n">
        <v>0</v>
      </c>
      <c r="R452" s="37" t="n">
        <v>0</v>
      </c>
      <c r="T452" s="49"/>
      <c r="U452" s="49"/>
      <c r="V452" s="49"/>
      <c r="W452" s="44"/>
    </row>
    <row r="453" s="42" customFormat="true" ht="42.5" hidden="false" customHeight="true" outlineLevel="0" collapsed="false">
      <c r="A453" s="64"/>
      <c r="B453" s="54"/>
      <c r="C453" s="31" t="s">
        <v>34</v>
      </c>
      <c r="D453" s="36"/>
      <c r="E453" s="36"/>
      <c r="F453" s="37" t="n">
        <v>0</v>
      </c>
      <c r="G453" s="37" t="n">
        <v>0</v>
      </c>
      <c r="H453" s="37" t="n">
        <v>0</v>
      </c>
      <c r="I453" s="37" t="n">
        <v>0</v>
      </c>
      <c r="J453" s="37" t="n">
        <v>0</v>
      </c>
      <c r="K453" s="37" t="n">
        <v>0</v>
      </c>
      <c r="L453" s="37" t="n">
        <v>0</v>
      </c>
      <c r="M453" s="37" t="n">
        <f aca="false">L453*104/100</f>
        <v>0</v>
      </c>
      <c r="N453" s="37" t="n">
        <v>0</v>
      </c>
      <c r="O453" s="33" t="n">
        <v>0</v>
      </c>
      <c r="P453" s="33" t="n">
        <v>0</v>
      </c>
      <c r="Q453" s="33" t="n">
        <v>0</v>
      </c>
      <c r="R453" s="37" t="n">
        <v>0</v>
      </c>
      <c r="T453" s="49"/>
      <c r="U453" s="49"/>
      <c r="V453" s="49"/>
      <c r="W453" s="44"/>
    </row>
    <row r="454" s="42" customFormat="true" ht="30.55" hidden="false" customHeight="true" outlineLevel="0" collapsed="false">
      <c r="A454" s="64"/>
      <c r="B454" s="54"/>
      <c r="C454" s="31" t="s">
        <v>35</v>
      </c>
      <c r="D454" s="36"/>
      <c r="E454" s="36"/>
      <c r="F454" s="37" t="n">
        <v>0</v>
      </c>
      <c r="G454" s="37" t="n">
        <v>0</v>
      </c>
      <c r="H454" s="37" t="n">
        <v>0</v>
      </c>
      <c r="I454" s="37" t="n">
        <v>0</v>
      </c>
      <c r="J454" s="37" t="n">
        <v>0</v>
      </c>
      <c r="K454" s="37" t="n">
        <v>0</v>
      </c>
      <c r="L454" s="37" t="n">
        <v>0</v>
      </c>
      <c r="M454" s="37" t="n">
        <f aca="false">L454*104/100</f>
        <v>0</v>
      </c>
      <c r="N454" s="37" t="n">
        <v>0</v>
      </c>
      <c r="O454" s="33" t="n">
        <v>0</v>
      </c>
      <c r="P454" s="33" t="n">
        <v>0</v>
      </c>
      <c r="Q454" s="33" t="n">
        <v>0</v>
      </c>
      <c r="R454" s="37" t="n">
        <v>0</v>
      </c>
      <c r="T454" s="49"/>
      <c r="U454" s="49"/>
      <c r="V454" s="49"/>
      <c r="W454" s="44"/>
    </row>
    <row r="455" s="42" customFormat="true" ht="81.3" hidden="false" customHeight="true" outlineLevel="0" collapsed="false">
      <c r="A455" s="64"/>
      <c r="B455" s="54"/>
      <c r="C455" s="31" t="s">
        <v>36</v>
      </c>
      <c r="D455" s="36"/>
      <c r="E455" s="36"/>
      <c r="F455" s="37" t="n">
        <v>0</v>
      </c>
      <c r="G455" s="37" t="n">
        <v>0</v>
      </c>
      <c r="H455" s="37" t="n">
        <v>0</v>
      </c>
      <c r="I455" s="37" t="n">
        <v>0</v>
      </c>
      <c r="J455" s="37" t="n">
        <v>0</v>
      </c>
      <c r="K455" s="37" t="n">
        <v>0</v>
      </c>
      <c r="L455" s="37" t="n">
        <v>0</v>
      </c>
      <c r="M455" s="37" t="n">
        <f aca="false">L455*104/100</f>
        <v>0</v>
      </c>
      <c r="N455" s="37" t="n">
        <v>0</v>
      </c>
      <c r="O455" s="33" t="n">
        <v>0</v>
      </c>
      <c r="P455" s="33" t="n">
        <v>0</v>
      </c>
      <c r="Q455" s="33" t="n">
        <v>0</v>
      </c>
      <c r="R455" s="37" t="n">
        <v>0</v>
      </c>
      <c r="T455" s="49"/>
      <c r="U455" s="49"/>
      <c r="V455" s="49"/>
      <c r="W455" s="44"/>
    </row>
    <row r="456" s="42" customFormat="true" ht="22.35" hidden="false" customHeight="true" outlineLevel="0" collapsed="false">
      <c r="A456" s="64" t="s">
        <v>173</v>
      </c>
      <c r="B456" s="54" t="s">
        <v>174</v>
      </c>
      <c r="C456" s="31" t="s">
        <v>30</v>
      </c>
      <c r="D456" s="36" t="s">
        <v>42</v>
      </c>
      <c r="E456" s="36" t="s">
        <v>170</v>
      </c>
      <c r="F456" s="37" t="n">
        <f aca="false">SUM(G456:R456)</f>
        <v>1340</v>
      </c>
      <c r="G456" s="37" t="n">
        <f aca="false">SUM(G457:G462)</f>
        <v>100</v>
      </c>
      <c r="H456" s="37" t="n">
        <f aca="false">SUM(H457:H462)</f>
        <v>0</v>
      </c>
      <c r="I456" s="37" t="n">
        <f aca="false">SUM(I457:I462)</f>
        <v>0</v>
      </c>
      <c r="J456" s="37" t="n">
        <f aca="false">SUM(J457:J462)</f>
        <v>0</v>
      </c>
      <c r="K456" s="37" t="n">
        <f aca="false">SUM(K457:K462)</f>
        <v>500</v>
      </c>
      <c r="L456" s="37" t="n">
        <f aca="false">SUM(L457:L462)</f>
        <v>0</v>
      </c>
      <c r="M456" s="37" t="n">
        <f aca="false">SUM(M457:M462)</f>
        <v>340</v>
      </c>
      <c r="N456" s="37" t="n">
        <f aca="false">SUM(N457:N462)</f>
        <v>400</v>
      </c>
      <c r="O456" s="37" t="n">
        <f aca="false">SUM(O457:O462)</f>
        <v>0</v>
      </c>
      <c r="P456" s="37" t="n">
        <f aca="false">SUM(P457:P462)</f>
        <v>0</v>
      </c>
      <c r="Q456" s="37" t="n">
        <f aca="false">SUM(Q457:Q462)</f>
        <v>0</v>
      </c>
      <c r="R456" s="37" t="n">
        <f aca="false">SUM(R457:R462)</f>
        <v>0</v>
      </c>
      <c r="T456" s="49"/>
      <c r="U456" s="49"/>
      <c r="V456" s="49"/>
      <c r="W456" s="44"/>
    </row>
    <row r="457" s="42" customFormat="true" ht="37.3" hidden="false" customHeight="true" outlineLevel="0" collapsed="false">
      <c r="A457" s="64"/>
      <c r="B457" s="54"/>
      <c r="C457" s="31" t="s">
        <v>31</v>
      </c>
      <c r="D457" s="36"/>
      <c r="E457" s="36"/>
      <c r="F457" s="37" t="n">
        <f aca="false">SUM(G457:R457)</f>
        <v>0</v>
      </c>
      <c r="G457" s="37" t="n">
        <v>0</v>
      </c>
      <c r="H457" s="37" t="n">
        <v>0</v>
      </c>
      <c r="I457" s="37" t="n">
        <v>0</v>
      </c>
      <c r="J457" s="37" t="n">
        <v>0</v>
      </c>
      <c r="K457" s="37" t="n">
        <v>0</v>
      </c>
      <c r="L457" s="37" t="n">
        <v>0</v>
      </c>
      <c r="M457" s="37" t="n">
        <f aca="false">L457*104/100</f>
        <v>0</v>
      </c>
      <c r="N457" s="37" t="n">
        <v>0</v>
      </c>
      <c r="O457" s="33" t="n">
        <v>0</v>
      </c>
      <c r="P457" s="33" t="n">
        <v>0</v>
      </c>
      <c r="Q457" s="33" t="n">
        <v>0</v>
      </c>
      <c r="R457" s="37" t="n">
        <v>0</v>
      </c>
      <c r="T457" s="49"/>
      <c r="U457" s="49"/>
      <c r="V457" s="49"/>
      <c r="W457" s="44"/>
    </row>
    <row r="458" s="42" customFormat="true" ht="29.85" hidden="false" customHeight="true" outlineLevel="0" collapsed="false">
      <c r="A458" s="64"/>
      <c r="B458" s="54"/>
      <c r="C458" s="31" t="s">
        <v>32</v>
      </c>
      <c r="D458" s="36"/>
      <c r="E458" s="36"/>
      <c r="F458" s="37" t="n">
        <f aca="false">SUM(G458:R458)</f>
        <v>1340</v>
      </c>
      <c r="G458" s="37" t="n">
        <v>100</v>
      </c>
      <c r="H458" s="37" t="n">
        <v>0</v>
      </c>
      <c r="I458" s="37" t="n">
        <v>0</v>
      </c>
      <c r="J458" s="37" t="n">
        <v>0</v>
      </c>
      <c r="K458" s="37" t="n">
        <v>500</v>
      </c>
      <c r="L458" s="37" t="n">
        <v>0</v>
      </c>
      <c r="M458" s="37" t="n">
        <v>340</v>
      </c>
      <c r="N458" s="37" t="n">
        <v>400</v>
      </c>
      <c r="O458" s="37" t="n">
        <v>0</v>
      </c>
      <c r="P458" s="37" t="n">
        <v>0</v>
      </c>
      <c r="Q458" s="37" t="n">
        <v>0</v>
      </c>
      <c r="R458" s="37" t="n">
        <v>0</v>
      </c>
      <c r="T458" s="49"/>
      <c r="U458" s="49"/>
      <c r="V458" s="49"/>
      <c r="W458" s="44"/>
    </row>
    <row r="459" s="42" customFormat="true" ht="28.35" hidden="false" customHeight="true" outlineLevel="0" collapsed="false">
      <c r="A459" s="64"/>
      <c r="B459" s="54"/>
      <c r="C459" s="31" t="s">
        <v>33</v>
      </c>
      <c r="D459" s="36"/>
      <c r="E459" s="36"/>
      <c r="F459" s="37" t="n">
        <f aca="false">SUM(G459:M459)</f>
        <v>0</v>
      </c>
      <c r="G459" s="37" t="n">
        <v>0</v>
      </c>
      <c r="H459" s="37" t="n">
        <v>0</v>
      </c>
      <c r="I459" s="37" t="n">
        <v>0</v>
      </c>
      <c r="J459" s="37" t="n">
        <v>0</v>
      </c>
      <c r="K459" s="37" t="n">
        <v>0</v>
      </c>
      <c r="L459" s="37" t="n">
        <v>0</v>
      </c>
      <c r="M459" s="37" t="n">
        <f aca="false">L459*104/100</f>
        <v>0</v>
      </c>
      <c r="N459" s="37" t="n">
        <v>0</v>
      </c>
      <c r="O459" s="33" t="n">
        <v>0</v>
      </c>
      <c r="P459" s="33" t="n">
        <v>0</v>
      </c>
      <c r="Q459" s="33" t="n">
        <v>0</v>
      </c>
      <c r="R459" s="37" t="n">
        <v>0</v>
      </c>
      <c r="T459" s="49"/>
      <c r="U459" s="49"/>
      <c r="V459" s="49"/>
      <c r="W459" s="44"/>
    </row>
    <row r="460" s="42" customFormat="true" ht="43.25" hidden="false" customHeight="true" outlineLevel="0" collapsed="false">
      <c r="A460" s="64"/>
      <c r="B460" s="54"/>
      <c r="C460" s="31" t="s">
        <v>34</v>
      </c>
      <c r="D460" s="36"/>
      <c r="E460" s="36"/>
      <c r="F460" s="37" t="n">
        <v>0</v>
      </c>
      <c r="G460" s="37" t="n">
        <v>0</v>
      </c>
      <c r="H460" s="37" t="n">
        <v>0</v>
      </c>
      <c r="I460" s="37" t="n">
        <v>0</v>
      </c>
      <c r="J460" s="37" t="n">
        <v>0</v>
      </c>
      <c r="K460" s="37" t="n">
        <v>0</v>
      </c>
      <c r="L460" s="37" t="n">
        <v>0</v>
      </c>
      <c r="M460" s="37" t="n">
        <f aca="false">L460*104/100</f>
        <v>0</v>
      </c>
      <c r="N460" s="37" t="n">
        <v>0</v>
      </c>
      <c r="O460" s="33" t="n">
        <v>0</v>
      </c>
      <c r="P460" s="33" t="n">
        <v>0</v>
      </c>
      <c r="Q460" s="33" t="n">
        <v>0</v>
      </c>
      <c r="R460" s="37" t="n">
        <v>0</v>
      </c>
      <c r="T460" s="49"/>
      <c r="U460" s="49"/>
      <c r="V460" s="49"/>
      <c r="W460" s="44"/>
    </row>
    <row r="461" s="42" customFormat="true" ht="26.85" hidden="false" customHeight="true" outlineLevel="0" collapsed="false">
      <c r="A461" s="64"/>
      <c r="B461" s="54"/>
      <c r="C461" s="31" t="s">
        <v>35</v>
      </c>
      <c r="D461" s="36"/>
      <c r="E461" s="36"/>
      <c r="F461" s="37" t="n">
        <v>0</v>
      </c>
      <c r="G461" s="37" t="n">
        <v>0</v>
      </c>
      <c r="H461" s="37" t="n">
        <v>0</v>
      </c>
      <c r="I461" s="37" t="n">
        <v>0</v>
      </c>
      <c r="J461" s="37" t="n">
        <v>0</v>
      </c>
      <c r="K461" s="37" t="n">
        <v>0</v>
      </c>
      <c r="L461" s="37" t="n">
        <v>0</v>
      </c>
      <c r="M461" s="37" t="n">
        <f aca="false">L461*104/100</f>
        <v>0</v>
      </c>
      <c r="N461" s="37" t="n">
        <v>0</v>
      </c>
      <c r="O461" s="33" t="n">
        <v>0</v>
      </c>
      <c r="P461" s="33" t="n">
        <v>0</v>
      </c>
      <c r="Q461" s="33" t="n">
        <v>0</v>
      </c>
      <c r="R461" s="37" t="n">
        <v>0</v>
      </c>
      <c r="T461" s="49"/>
      <c r="U461" s="49"/>
      <c r="V461" s="49"/>
      <c r="W461" s="44"/>
    </row>
    <row r="462" s="42" customFormat="true" ht="72.35" hidden="false" customHeight="true" outlineLevel="0" collapsed="false">
      <c r="A462" s="64"/>
      <c r="B462" s="54"/>
      <c r="C462" s="31" t="s">
        <v>36</v>
      </c>
      <c r="D462" s="36"/>
      <c r="E462" s="36"/>
      <c r="F462" s="37" t="n">
        <v>0</v>
      </c>
      <c r="G462" s="37" t="n">
        <v>0</v>
      </c>
      <c r="H462" s="37" t="n">
        <v>0</v>
      </c>
      <c r="I462" s="37" t="n">
        <v>0</v>
      </c>
      <c r="J462" s="37" t="n">
        <v>0</v>
      </c>
      <c r="K462" s="37" t="n">
        <v>0</v>
      </c>
      <c r="L462" s="37" t="n">
        <v>0</v>
      </c>
      <c r="M462" s="37" t="n">
        <f aca="false">L462*104/100</f>
        <v>0</v>
      </c>
      <c r="N462" s="37" t="n">
        <v>0</v>
      </c>
      <c r="O462" s="33" t="n">
        <v>0</v>
      </c>
      <c r="P462" s="33" t="n">
        <v>0</v>
      </c>
      <c r="Q462" s="33" t="n">
        <v>0</v>
      </c>
      <c r="R462" s="37" t="n">
        <v>0</v>
      </c>
      <c r="T462" s="49"/>
      <c r="U462" s="49"/>
      <c r="V462" s="49"/>
      <c r="W462" s="44"/>
    </row>
    <row r="463" s="42" customFormat="true" ht="20.85" hidden="false" customHeight="true" outlineLevel="0" collapsed="false">
      <c r="A463" s="64" t="s">
        <v>175</v>
      </c>
      <c r="B463" s="54" t="s">
        <v>176</v>
      </c>
      <c r="C463" s="31" t="s">
        <v>30</v>
      </c>
      <c r="D463" s="36" t="s">
        <v>42</v>
      </c>
      <c r="E463" s="36" t="s">
        <v>170</v>
      </c>
      <c r="F463" s="37" t="n">
        <f aca="false">SUM(G463:R463)</f>
        <v>103620.499</v>
      </c>
      <c r="G463" s="37" t="n">
        <f aca="false">SUM(G464:G469)</f>
        <v>0</v>
      </c>
      <c r="H463" s="37" t="n">
        <f aca="false">SUM(H464:H469)</f>
        <v>0</v>
      </c>
      <c r="I463" s="37" t="n">
        <f aca="false">SUM(I464:I469)</f>
        <v>0</v>
      </c>
      <c r="J463" s="37" t="n">
        <f aca="false">SUM(J464:J469)</f>
        <v>0</v>
      </c>
      <c r="K463" s="37" t="n">
        <f aca="false">SUM(K464:K469)</f>
        <v>0</v>
      </c>
      <c r="L463" s="37" t="n">
        <f aca="false">SUM(L464:L469)</f>
        <v>0</v>
      </c>
      <c r="M463" s="37" t="n">
        <f aca="false">SUM(M464:M469)</f>
        <v>0</v>
      </c>
      <c r="N463" s="37" t="n">
        <f aca="false">SUM(N464:N469)</f>
        <v>21088.097</v>
      </c>
      <c r="O463" s="37" t="n">
        <f aca="false">SUM(O464:O469)</f>
        <v>20807.102</v>
      </c>
      <c r="P463" s="37" t="n">
        <f aca="false">SUM(P464:P469)</f>
        <v>20575.1</v>
      </c>
      <c r="Q463" s="37" t="n">
        <f aca="false">SUM(Q464:Q469)</f>
        <v>20575.1</v>
      </c>
      <c r="R463" s="37" t="n">
        <f aca="false">SUM(R464:R469)</f>
        <v>20575.1</v>
      </c>
      <c r="T463" s="49"/>
      <c r="U463" s="49"/>
      <c r="V463" s="49"/>
      <c r="W463" s="44"/>
    </row>
    <row r="464" s="42" customFormat="true" ht="38.05" hidden="false" customHeight="true" outlineLevel="0" collapsed="false">
      <c r="A464" s="64"/>
      <c r="B464" s="54"/>
      <c r="C464" s="31" t="s">
        <v>31</v>
      </c>
      <c r="D464" s="36"/>
      <c r="E464" s="36"/>
      <c r="F464" s="37" t="n">
        <f aca="false">SUM(G464:R464)</f>
        <v>0</v>
      </c>
      <c r="G464" s="37" t="n">
        <v>0</v>
      </c>
      <c r="H464" s="37" t="n">
        <v>0</v>
      </c>
      <c r="I464" s="37" t="n">
        <v>0</v>
      </c>
      <c r="J464" s="37" t="n">
        <v>0</v>
      </c>
      <c r="K464" s="37" t="n">
        <v>0</v>
      </c>
      <c r="L464" s="37" t="n">
        <v>0</v>
      </c>
      <c r="M464" s="37" t="n">
        <f aca="false">L464*104/100</f>
        <v>0</v>
      </c>
      <c r="N464" s="37" t="n">
        <v>0</v>
      </c>
      <c r="O464" s="33" t="n">
        <v>0</v>
      </c>
      <c r="P464" s="33" t="n">
        <v>0</v>
      </c>
      <c r="Q464" s="33" t="n">
        <v>0</v>
      </c>
      <c r="R464" s="37" t="n">
        <v>0</v>
      </c>
      <c r="T464" s="49"/>
      <c r="U464" s="49"/>
      <c r="V464" s="49"/>
      <c r="W464" s="44"/>
    </row>
    <row r="465" s="42" customFormat="true" ht="29.1" hidden="false" customHeight="true" outlineLevel="0" collapsed="false">
      <c r="A465" s="64"/>
      <c r="B465" s="54"/>
      <c r="C465" s="31" t="s">
        <v>32</v>
      </c>
      <c r="D465" s="36"/>
      <c r="E465" s="36"/>
      <c r="F465" s="37" t="n">
        <f aca="false">SUM(G465:R465)</f>
        <v>103620.499</v>
      </c>
      <c r="G465" s="37" t="n">
        <v>0</v>
      </c>
      <c r="H465" s="37" t="n">
        <v>0</v>
      </c>
      <c r="I465" s="37" t="n">
        <v>0</v>
      </c>
      <c r="J465" s="37" t="n">
        <v>0</v>
      </c>
      <c r="K465" s="37" t="n">
        <v>0</v>
      </c>
      <c r="L465" s="37" t="n">
        <v>0</v>
      </c>
      <c r="M465" s="37" t="n">
        <v>0</v>
      </c>
      <c r="N465" s="37" t="n">
        <v>21088.097</v>
      </c>
      <c r="O465" s="37" t="n">
        <v>20807.102</v>
      </c>
      <c r="P465" s="37" t="n">
        <v>20575.1</v>
      </c>
      <c r="Q465" s="37" t="n">
        <v>20575.1</v>
      </c>
      <c r="R465" s="37" t="n">
        <v>20575.1</v>
      </c>
      <c r="T465" s="49"/>
      <c r="U465" s="49"/>
      <c r="V465" s="49"/>
      <c r="W465" s="44"/>
    </row>
    <row r="466" s="42" customFormat="true" ht="27.6" hidden="false" customHeight="true" outlineLevel="0" collapsed="false">
      <c r="A466" s="64"/>
      <c r="B466" s="54"/>
      <c r="C466" s="31" t="s">
        <v>33</v>
      </c>
      <c r="D466" s="36"/>
      <c r="E466" s="36"/>
      <c r="F466" s="37" t="n">
        <f aca="false">SUM(G466:M466)</f>
        <v>0</v>
      </c>
      <c r="G466" s="37" t="n">
        <v>0</v>
      </c>
      <c r="H466" s="37" t="n">
        <v>0</v>
      </c>
      <c r="I466" s="37" t="n">
        <v>0</v>
      </c>
      <c r="J466" s="37" t="n">
        <v>0</v>
      </c>
      <c r="K466" s="37" t="n">
        <v>0</v>
      </c>
      <c r="L466" s="37" t="n">
        <v>0</v>
      </c>
      <c r="M466" s="37" t="n">
        <f aca="false">L466*104/100</f>
        <v>0</v>
      </c>
      <c r="N466" s="37" t="n">
        <v>0</v>
      </c>
      <c r="O466" s="33" t="n">
        <v>0</v>
      </c>
      <c r="P466" s="33" t="n">
        <v>0</v>
      </c>
      <c r="Q466" s="33" t="n">
        <v>0</v>
      </c>
      <c r="R466" s="37" t="n">
        <v>0</v>
      </c>
      <c r="T466" s="49"/>
      <c r="U466" s="49"/>
      <c r="V466" s="49"/>
      <c r="W466" s="44"/>
    </row>
    <row r="467" s="42" customFormat="true" ht="38.8" hidden="false" customHeight="true" outlineLevel="0" collapsed="false">
      <c r="A467" s="64"/>
      <c r="B467" s="54"/>
      <c r="C467" s="31" t="s">
        <v>34</v>
      </c>
      <c r="D467" s="36"/>
      <c r="E467" s="36"/>
      <c r="F467" s="37" t="n">
        <v>0</v>
      </c>
      <c r="G467" s="37" t="n">
        <v>0</v>
      </c>
      <c r="H467" s="37" t="n">
        <v>0</v>
      </c>
      <c r="I467" s="37" t="n">
        <v>0</v>
      </c>
      <c r="J467" s="37" t="n">
        <v>0</v>
      </c>
      <c r="K467" s="37" t="n">
        <v>0</v>
      </c>
      <c r="L467" s="37" t="n">
        <v>0</v>
      </c>
      <c r="M467" s="37" t="n">
        <f aca="false">L467*104/100</f>
        <v>0</v>
      </c>
      <c r="N467" s="37" t="n">
        <v>0</v>
      </c>
      <c r="O467" s="33" t="n">
        <v>0</v>
      </c>
      <c r="P467" s="33" t="n">
        <v>0</v>
      </c>
      <c r="Q467" s="33" t="n">
        <v>0</v>
      </c>
      <c r="R467" s="37" t="n">
        <v>0</v>
      </c>
      <c r="T467" s="49"/>
      <c r="U467" s="49"/>
      <c r="V467" s="49"/>
      <c r="W467" s="44"/>
    </row>
    <row r="468" s="42" customFormat="true" ht="27.6" hidden="false" customHeight="true" outlineLevel="0" collapsed="false">
      <c r="A468" s="64"/>
      <c r="B468" s="54"/>
      <c r="C468" s="31" t="s">
        <v>35</v>
      </c>
      <c r="D468" s="36"/>
      <c r="E468" s="36"/>
      <c r="F468" s="37" t="n">
        <v>0</v>
      </c>
      <c r="G468" s="37" t="n">
        <v>0</v>
      </c>
      <c r="H468" s="37" t="n">
        <v>0</v>
      </c>
      <c r="I468" s="37" t="n">
        <v>0</v>
      </c>
      <c r="J468" s="37" t="n">
        <v>0</v>
      </c>
      <c r="K468" s="37" t="n">
        <v>0</v>
      </c>
      <c r="L468" s="37" t="n">
        <v>0</v>
      </c>
      <c r="M468" s="37" t="n">
        <f aca="false">L468*104/100</f>
        <v>0</v>
      </c>
      <c r="N468" s="37" t="n">
        <v>0</v>
      </c>
      <c r="O468" s="33" t="n">
        <v>0</v>
      </c>
      <c r="P468" s="33" t="n">
        <v>0</v>
      </c>
      <c r="Q468" s="33" t="n">
        <v>0</v>
      </c>
      <c r="R468" s="37" t="n">
        <v>0</v>
      </c>
      <c r="T468" s="49"/>
      <c r="U468" s="49"/>
      <c r="V468" s="49"/>
      <c r="W468" s="44"/>
    </row>
    <row r="469" s="42" customFormat="true" ht="79.85" hidden="false" customHeight="true" outlineLevel="0" collapsed="false">
      <c r="A469" s="64"/>
      <c r="B469" s="54"/>
      <c r="C469" s="31" t="s">
        <v>36</v>
      </c>
      <c r="D469" s="36"/>
      <c r="E469" s="36"/>
      <c r="F469" s="37" t="n">
        <v>0</v>
      </c>
      <c r="G469" s="37" t="n">
        <v>0</v>
      </c>
      <c r="H469" s="37" t="n">
        <v>0</v>
      </c>
      <c r="I469" s="37" t="n">
        <v>0</v>
      </c>
      <c r="J469" s="37" t="n">
        <v>0</v>
      </c>
      <c r="K469" s="37" t="n">
        <v>0</v>
      </c>
      <c r="L469" s="37" t="n">
        <v>0</v>
      </c>
      <c r="M469" s="37" t="n">
        <f aca="false">L469*104/100</f>
        <v>0</v>
      </c>
      <c r="N469" s="37" t="n">
        <v>0</v>
      </c>
      <c r="O469" s="33" t="n">
        <v>0</v>
      </c>
      <c r="P469" s="33" t="n">
        <v>0</v>
      </c>
      <c r="Q469" s="33" t="n">
        <v>0</v>
      </c>
      <c r="R469" s="37" t="n">
        <v>0</v>
      </c>
      <c r="T469" s="49"/>
      <c r="U469" s="49"/>
      <c r="V469" s="49"/>
      <c r="W469" s="44"/>
    </row>
    <row r="470" s="42" customFormat="true" ht="17.9" hidden="false" customHeight="true" outlineLevel="0" collapsed="false">
      <c r="A470" s="64" t="s">
        <v>177</v>
      </c>
      <c r="B470" s="54" t="s">
        <v>178</v>
      </c>
      <c r="C470" s="31" t="s">
        <v>30</v>
      </c>
      <c r="D470" s="36" t="s">
        <v>42</v>
      </c>
      <c r="E470" s="36" t="s">
        <v>170</v>
      </c>
      <c r="F470" s="37" t="n">
        <f aca="false">SUM(G470:R470)</f>
        <v>33000</v>
      </c>
      <c r="G470" s="37" t="n">
        <f aca="false">SUM(G471:G476)</f>
        <v>0</v>
      </c>
      <c r="H470" s="37" t="n">
        <f aca="false">SUM(H471:H476)</f>
        <v>0</v>
      </c>
      <c r="I470" s="37" t="n">
        <f aca="false">SUM(I471:I476)</f>
        <v>0</v>
      </c>
      <c r="J470" s="37" t="n">
        <f aca="false">SUM(J471:J476)</f>
        <v>0</v>
      </c>
      <c r="K470" s="37" t="n">
        <f aca="false">SUM(K471:K476)</f>
        <v>0</v>
      </c>
      <c r="L470" s="37" t="n">
        <f aca="false">SUM(L471:L476)</f>
        <v>0</v>
      </c>
      <c r="M470" s="37" t="n">
        <f aca="false">SUM(M471:M476)</f>
        <v>0</v>
      </c>
      <c r="N470" s="37" t="n">
        <f aca="false">SUM(N471:N476)</f>
        <v>0</v>
      </c>
      <c r="O470" s="37" t="n">
        <f aca="false">SUM(O471:O476)</f>
        <v>0</v>
      </c>
      <c r="P470" s="37" t="n">
        <f aca="false">SUM(P471:P476)</f>
        <v>33000</v>
      </c>
      <c r="Q470" s="37" t="n">
        <f aca="false">SUM(Q471:Q476)</f>
        <v>0</v>
      </c>
      <c r="R470" s="37" t="n">
        <f aca="false">SUM(R471:R476)</f>
        <v>0</v>
      </c>
      <c r="T470" s="49"/>
      <c r="U470" s="49"/>
      <c r="V470" s="49"/>
      <c r="W470" s="44"/>
    </row>
    <row r="471" s="42" customFormat="true" ht="39.55" hidden="false" customHeight="true" outlineLevel="0" collapsed="false">
      <c r="A471" s="64"/>
      <c r="B471" s="54"/>
      <c r="C471" s="31" t="s">
        <v>31</v>
      </c>
      <c r="D471" s="36"/>
      <c r="E471" s="36"/>
      <c r="F471" s="37" t="n">
        <f aca="false">SUM(G471:R471)</f>
        <v>0</v>
      </c>
      <c r="G471" s="37" t="n">
        <v>0</v>
      </c>
      <c r="H471" s="37" t="n">
        <v>0</v>
      </c>
      <c r="I471" s="37" t="n">
        <v>0</v>
      </c>
      <c r="J471" s="37" t="n">
        <v>0</v>
      </c>
      <c r="K471" s="37" t="n">
        <v>0</v>
      </c>
      <c r="L471" s="37" t="n">
        <v>0</v>
      </c>
      <c r="M471" s="37" t="n">
        <f aca="false">L471*104/100</f>
        <v>0</v>
      </c>
      <c r="N471" s="37" t="n">
        <v>0</v>
      </c>
      <c r="O471" s="33" t="n">
        <v>0</v>
      </c>
      <c r="P471" s="33" t="n">
        <v>0</v>
      </c>
      <c r="Q471" s="33" t="n">
        <v>0</v>
      </c>
      <c r="R471" s="37" t="n">
        <v>0</v>
      </c>
      <c r="T471" s="49"/>
      <c r="U471" s="49"/>
      <c r="V471" s="49"/>
      <c r="W471" s="44"/>
    </row>
    <row r="472" s="42" customFormat="true" ht="26.1" hidden="false" customHeight="true" outlineLevel="0" collapsed="false">
      <c r="A472" s="64"/>
      <c r="B472" s="54"/>
      <c r="C472" s="31" t="s">
        <v>32</v>
      </c>
      <c r="D472" s="36"/>
      <c r="E472" s="36"/>
      <c r="F472" s="37" t="n">
        <f aca="false">SUM(G472:R472)</f>
        <v>33000</v>
      </c>
      <c r="G472" s="37" t="n">
        <v>0</v>
      </c>
      <c r="H472" s="37" t="n">
        <v>0</v>
      </c>
      <c r="I472" s="37" t="n">
        <v>0</v>
      </c>
      <c r="J472" s="37" t="n">
        <v>0</v>
      </c>
      <c r="K472" s="37" t="n">
        <v>0</v>
      </c>
      <c r="L472" s="37" t="n">
        <v>0</v>
      </c>
      <c r="M472" s="37" t="n">
        <v>0</v>
      </c>
      <c r="N472" s="37" t="n">
        <v>0</v>
      </c>
      <c r="O472" s="37" t="n">
        <v>0</v>
      </c>
      <c r="P472" s="37" t="n">
        <v>33000</v>
      </c>
      <c r="Q472" s="37" t="n">
        <v>0</v>
      </c>
      <c r="R472" s="37" t="n">
        <f aca="false">Q472*1.04</f>
        <v>0</v>
      </c>
      <c r="T472" s="49"/>
      <c r="U472" s="49"/>
      <c r="V472" s="49"/>
      <c r="W472" s="44"/>
    </row>
    <row r="473" s="42" customFormat="true" ht="25.35" hidden="false" customHeight="true" outlineLevel="0" collapsed="false">
      <c r="A473" s="64"/>
      <c r="B473" s="54"/>
      <c r="C473" s="31" t="s">
        <v>33</v>
      </c>
      <c r="D473" s="36"/>
      <c r="E473" s="36"/>
      <c r="F473" s="37" t="n">
        <f aca="false">SUM(G473:M473)</f>
        <v>0</v>
      </c>
      <c r="G473" s="37" t="n">
        <v>0</v>
      </c>
      <c r="H473" s="37" t="n">
        <v>0</v>
      </c>
      <c r="I473" s="37" t="n">
        <v>0</v>
      </c>
      <c r="J473" s="37" t="n">
        <v>0</v>
      </c>
      <c r="K473" s="37" t="n">
        <v>0</v>
      </c>
      <c r="L473" s="37" t="n">
        <v>0</v>
      </c>
      <c r="M473" s="37" t="n">
        <f aca="false">L473*104/100</f>
        <v>0</v>
      </c>
      <c r="N473" s="37" t="n">
        <v>0</v>
      </c>
      <c r="O473" s="33" t="n">
        <v>0</v>
      </c>
      <c r="P473" s="33" t="n">
        <v>0</v>
      </c>
      <c r="Q473" s="33" t="n">
        <v>0</v>
      </c>
      <c r="R473" s="37" t="n">
        <v>0</v>
      </c>
      <c r="T473" s="49"/>
      <c r="U473" s="49"/>
      <c r="V473" s="49"/>
      <c r="W473" s="44"/>
    </row>
    <row r="474" s="42" customFormat="true" ht="38.05" hidden="false" customHeight="true" outlineLevel="0" collapsed="false">
      <c r="A474" s="64"/>
      <c r="B474" s="54"/>
      <c r="C474" s="31" t="s">
        <v>34</v>
      </c>
      <c r="D474" s="36"/>
      <c r="E474" s="36"/>
      <c r="F474" s="37" t="n">
        <v>0</v>
      </c>
      <c r="G474" s="37" t="n">
        <v>0</v>
      </c>
      <c r="H474" s="37" t="n">
        <v>0</v>
      </c>
      <c r="I474" s="37" t="n">
        <v>0</v>
      </c>
      <c r="J474" s="37" t="n">
        <v>0</v>
      </c>
      <c r="K474" s="37" t="n">
        <v>0</v>
      </c>
      <c r="L474" s="37" t="n">
        <v>0</v>
      </c>
      <c r="M474" s="37" t="n">
        <f aca="false">L474*104/100</f>
        <v>0</v>
      </c>
      <c r="N474" s="37" t="n">
        <v>0</v>
      </c>
      <c r="O474" s="33" t="n">
        <v>0</v>
      </c>
      <c r="P474" s="33" t="n">
        <v>0</v>
      </c>
      <c r="Q474" s="33" t="n">
        <v>0</v>
      </c>
      <c r="R474" s="37" t="n">
        <v>0</v>
      </c>
      <c r="T474" s="49"/>
      <c r="U474" s="49"/>
      <c r="V474" s="49"/>
      <c r="W474" s="44"/>
    </row>
    <row r="475" s="42" customFormat="true" ht="29.85" hidden="false" customHeight="true" outlineLevel="0" collapsed="false">
      <c r="A475" s="64"/>
      <c r="B475" s="54"/>
      <c r="C475" s="31" t="s">
        <v>35</v>
      </c>
      <c r="D475" s="36"/>
      <c r="E475" s="36"/>
      <c r="F475" s="37" t="n">
        <v>0</v>
      </c>
      <c r="G475" s="37" t="n">
        <v>0</v>
      </c>
      <c r="H475" s="37" t="n">
        <v>0</v>
      </c>
      <c r="I475" s="37" t="n">
        <v>0</v>
      </c>
      <c r="J475" s="37" t="n">
        <v>0</v>
      </c>
      <c r="K475" s="37" t="n">
        <v>0</v>
      </c>
      <c r="L475" s="37" t="n">
        <v>0</v>
      </c>
      <c r="M475" s="37" t="n">
        <f aca="false">L475*104/100</f>
        <v>0</v>
      </c>
      <c r="N475" s="37" t="n">
        <v>0</v>
      </c>
      <c r="O475" s="33" t="n">
        <v>0</v>
      </c>
      <c r="P475" s="33" t="n">
        <v>0</v>
      </c>
      <c r="Q475" s="33" t="n">
        <v>0</v>
      </c>
      <c r="R475" s="37" t="n">
        <v>0</v>
      </c>
      <c r="T475" s="49"/>
      <c r="U475" s="49"/>
      <c r="V475" s="49"/>
      <c r="W475" s="44"/>
    </row>
    <row r="476" s="42" customFormat="true" ht="73.85" hidden="false" customHeight="true" outlineLevel="0" collapsed="false">
      <c r="A476" s="64"/>
      <c r="B476" s="54"/>
      <c r="C476" s="31" t="s">
        <v>36</v>
      </c>
      <c r="D476" s="36"/>
      <c r="E476" s="36"/>
      <c r="F476" s="37" t="n">
        <v>0</v>
      </c>
      <c r="G476" s="37" t="n">
        <v>0</v>
      </c>
      <c r="H476" s="37" t="n">
        <v>0</v>
      </c>
      <c r="I476" s="37" t="n">
        <v>0</v>
      </c>
      <c r="J476" s="37" t="n">
        <v>0</v>
      </c>
      <c r="K476" s="37" t="n">
        <v>0</v>
      </c>
      <c r="L476" s="37" t="n">
        <v>0</v>
      </c>
      <c r="M476" s="37" t="n">
        <f aca="false">L476*104/100</f>
        <v>0</v>
      </c>
      <c r="N476" s="37" t="n">
        <v>0</v>
      </c>
      <c r="O476" s="33" t="n">
        <v>0</v>
      </c>
      <c r="P476" s="33" t="n">
        <v>0</v>
      </c>
      <c r="Q476" s="33" t="n">
        <v>0</v>
      </c>
      <c r="R476" s="37" t="n">
        <v>0</v>
      </c>
      <c r="T476" s="49"/>
      <c r="U476" s="49"/>
      <c r="V476" s="49"/>
      <c r="W476" s="44"/>
    </row>
    <row r="477" s="42" customFormat="true" ht="26.1" hidden="false" customHeight="true" outlineLevel="0" collapsed="false">
      <c r="A477" s="64" t="s">
        <v>179</v>
      </c>
      <c r="B477" s="54" t="s">
        <v>180</v>
      </c>
      <c r="C477" s="31" t="s">
        <v>30</v>
      </c>
      <c r="D477" s="36"/>
      <c r="E477" s="36" t="s">
        <v>181</v>
      </c>
      <c r="F477" s="37" t="n">
        <f aca="false">SUM(G477:R477)</f>
        <v>1970895.02336</v>
      </c>
      <c r="G477" s="37" t="n">
        <f aca="false">SUM(G478:G484)</f>
        <v>111714.48461</v>
      </c>
      <c r="H477" s="37" t="n">
        <f aca="false">SUM(H478:H484)</f>
        <v>110139.32692</v>
      </c>
      <c r="I477" s="37" t="n">
        <f aca="false">SUM(I478:I484)</f>
        <v>127182.43</v>
      </c>
      <c r="J477" s="37" t="n">
        <f aca="false">SUM(J478:J484)</f>
        <v>138877.68213</v>
      </c>
      <c r="K477" s="37" t="n">
        <f aca="false">SUM(K478:K484)</f>
        <v>158404.94744</v>
      </c>
      <c r="L477" s="37" t="n">
        <f aca="false">SUM(L478:L484)</f>
        <v>163969.21732</v>
      </c>
      <c r="M477" s="37" t="n">
        <f aca="false">SUM(M478:M484)</f>
        <v>181475.98186</v>
      </c>
      <c r="N477" s="37" t="n">
        <f aca="false">SUM(N478:N484)</f>
        <v>186029.03486</v>
      </c>
      <c r="O477" s="37" t="n">
        <f aca="false">SUM(O478:O484)</f>
        <v>183829.39622</v>
      </c>
      <c r="P477" s="37" t="n">
        <f aca="false">SUM(P478:P484)</f>
        <v>221110.29</v>
      </c>
      <c r="Q477" s="37" t="n">
        <f aca="false">SUM(Q478:Q484)</f>
        <v>194081.116</v>
      </c>
      <c r="R477" s="37" t="n">
        <f aca="false">SUM(R478:R484)</f>
        <v>194081.116</v>
      </c>
      <c r="T477" s="49"/>
      <c r="U477" s="49"/>
      <c r="V477" s="49"/>
      <c r="W477" s="44"/>
    </row>
    <row r="478" s="42" customFormat="true" ht="38.05" hidden="false" customHeight="true" outlineLevel="0" collapsed="false">
      <c r="A478" s="64"/>
      <c r="B478" s="54"/>
      <c r="C478" s="31" t="s">
        <v>31</v>
      </c>
      <c r="D478" s="36" t="s">
        <v>42</v>
      </c>
      <c r="E478" s="36" t="s">
        <v>181</v>
      </c>
      <c r="F478" s="37" t="n">
        <f aca="false">F486+F493</f>
        <v>1154</v>
      </c>
      <c r="G478" s="37" t="n">
        <v>0</v>
      </c>
      <c r="H478" s="37" t="n">
        <v>0</v>
      </c>
      <c r="I478" s="37" t="n">
        <v>0</v>
      </c>
      <c r="J478" s="37" t="n">
        <v>0</v>
      </c>
      <c r="K478" s="37" t="n">
        <v>0</v>
      </c>
      <c r="L478" s="37" t="n">
        <f aca="false">L486+L493</f>
        <v>1154</v>
      </c>
      <c r="M478" s="37" t="n">
        <v>0</v>
      </c>
      <c r="N478" s="37" t="n">
        <v>0</v>
      </c>
      <c r="O478" s="33" t="n">
        <v>0</v>
      </c>
      <c r="P478" s="33" t="n">
        <v>0</v>
      </c>
      <c r="Q478" s="33" t="n">
        <v>0</v>
      </c>
      <c r="R478" s="37" t="n">
        <v>0</v>
      </c>
      <c r="T478" s="70"/>
      <c r="U478" s="70"/>
      <c r="V478" s="70"/>
      <c r="W478" s="44"/>
    </row>
    <row r="479" s="42" customFormat="true" ht="28.35" hidden="false" customHeight="true" outlineLevel="0" collapsed="false">
      <c r="A479" s="64"/>
      <c r="B479" s="54"/>
      <c r="C479" s="31" t="s">
        <v>32</v>
      </c>
      <c r="D479" s="36" t="s">
        <v>42</v>
      </c>
      <c r="E479" s="36" t="s">
        <v>181</v>
      </c>
      <c r="F479" s="37" t="n">
        <f aca="false">F487+F494</f>
        <v>1969741.02336</v>
      </c>
      <c r="G479" s="37" t="n">
        <f aca="false">G487+G494</f>
        <v>111714.48461</v>
      </c>
      <c r="H479" s="37" t="n">
        <f aca="false">H487+H494</f>
        <v>110139.32692</v>
      </c>
      <c r="I479" s="37" t="n">
        <f aca="false">I487+I494</f>
        <v>127182.43</v>
      </c>
      <c r="J479" s="37" t="n">
        <f aca="false">J487+J494</f>
        <v>138877.68213</v>
      </c>
      <c r="K479" s="37" t="n">
        <f aca="false">K487+K494</f>
        <v>158404.94744</v>
      </c>
      <c r="L479" s="37" t="n">
        <f aca="false">L487+L494</f>
        <v>162815.21732</v>
      </c>
      <c r="M479" s="37" t="n">
        <f aca="false">M487+M494</f>
        <v>181475.98186</v>
      </c>
      <c r="N479" s="37" t="n">
        <f aca="false">N487+N494</f>
        <v>186029.03486</v>
      </c>
      <c r="O479" s="37" t="n">
        <f aca="false">O487+O494</f>
        <v>183829.39622</v>
      </c>
      <c r="P479" s="37" t="n">
        <f aca="false">P487+P494</f>
        <v>221110.29</v>
      </c>
      <c r="Q479" s="37" t="n">
        <f aca="false">Q487+Q494</f>
        <v>194081.116</v>
      </c>
      <c r="R479" s="37" t="n">
        <f aca="false">R487+R494</f>
        <v>194081.116</v>
      </c>
      <c r="T479" s="11" t="n">
        <f aca="false">221110.29-P479</f>
        <v>0</v>
      </c>
      <c r="U479" s="78" t="n">
        <f aca="false">194081.116-Q479</f>
        <v>0</v>
      </c>
      <c r="V479" s="78" t="n">
        <f aca="false">194081.116-R479</f>
        <v>0</v>
      </c>
      <c r="W479" s="44"/>
    </row>
    <row r="480" s="42" customFormat="true" ht="32.05" hidden="false" customHeight="true" outlineLevel="0" collapsed="false">
      <c r="A480" s="64"/>
      <c r="B480" s="54"/>
      <c r="C480" s="31" t="s">
        <v>33</v>
      </c>
      <c r="D480" s="36"/>
      <c r="E480" s="36"/>
      <c r="F480" s="37" t="n">
        <f aca="false">G480+H480+I480+J480+K480+L480+M480+N480+O480+P480+Q480+R480</f>
        <v>0</v>
      </c>
      <c r="G480" s="37" t="n">
        <f aca="false">G488</f>
        <v>0</v>
      </c>
      <c r="H480" s="37" t="n">
        <f aca="false">H488</f>
        <v>0</v>
      </c>
      <c r="I480" s="37" t="n">
        <f aca="false">I488</f>
        <v>0</v>
      </c>
      <c r="J480" s="37" t="n">
        <v>0</v>
      </c>
      <c r="K480" s="37" t="n">
        <v>0</v>
      </c>
      <c r="L480" s="37" t="n">
        <v>0</v>
      </c>
      <c r="M480" s="37" t="n">
        <f aca="false">L480*104/100</f>
        <v>0</v>
      </c>
      <c r="N480" s="37" t="n">
        <v>0</v>
      </c>
      <c r="O480" s="33" t="n">
        <v>0</v>
      </c>
      <c r="P480" s="33" t="n">
        <v>0</v>
      </c>
      <c r="Q480" s="33" t="n">
        <v>0</v>
      </c>
      <c r="R480" s="37" t="n">
        <v>0</v>
      </c>
      <c r="T480" s="49"/>
      <c r="U480" s="49"/>
      <c r="V480" s="49"/>
      <c r="W480" s="44"/>
    </row>
    <row r="481" s="42" customFormat="true" ht="26.1" hidden="false" customHeight="true" outlineLevel="0" collapsed="false">
      <c r="A481" s="64"/>
      <c r="B481" s="54"/>
      <c r="C481" s="31" t="s">
        <v>32</v>
      </c>
      <c r="D481" s="36" t="s">
        <v>117</v>
      </c>
      <c r="E481" s="36" t="s">
        <v>181</v>
      </c>
      <c r="F481" s="37" t="n">
        <f aca="false">G481+H481+I481+J481+K481+L481+M481+N481+O481+P481+Q481+R481</f>
        <v>0</v>
      </c>
      <c r="G481" s="37" t="n">
        <v>0</v>
      </c>
      <c r="H481" s="37" t="n">
        <v>0</v>
      </c>
      <c r="I481" s="37" t="n">
        <v>0</v>
      </c>
      <c r="J481" s="37" t="n">
        <v>0</v>
      </c>
      <c r="K481" s="37" t="n">
        <v>0</v>
      </c>
      <c r="L481" s="37" t="n">
        <v>0</v>
      </c>
      <c r="M481" s="37" t="n">
        <v>0</v>
      </c>
      <c r="N481" s="37" t="n">
        <v>0</v>
      </c>
      <c r="O481" s="33" t="n">
        <f aca="false">O496</f>
        <v>0</v>
      </c>
      <c r="P481" s="33" t="n">
        <f aca="false">P496</f>
        <v>0</v>
      </c>
      <c r="Q481" s="33" t="n">
        <f aca="false">Q496</f>
        <v>0</v>
      </c>
      <c r="R481" s="33" t="n">
        <f aca="false">R496</f>
        <v>0</v>
      </c>
      <c r="T481" s="49"/>
      <c r="U481" s="49"/>
      <c r="V481" s="49"/>
      <c r="W481" s="44"/>
    </row>
    <row r="482" s="42" customFormat="true" ht="38.8" hidden="false" customHeight="true" outlineLevel="0" collapsed="false">
      <c r="A482" s="64"/>
      <c r="B482" s="54"/>
      <c r="C482" s="31" t="s">
        <v>34</v>
      </c>
      <c r="D482" s="36"/>
      <c r="E482" s="36"/>
      <c r="F482" s="37" t="n">
        <f aca="false">G482+H482+I482+J482+K482+L482+M482+N482+O482+P482+Q482+R482</f>
        <v>0</v>
      </c>
      <c r="G482" s="37" t="n">
        <v>0</v>
      </c>
      <c r="H482" s="37" t="n">
        <v>0</v>
      </c>
      <c r="I482" s="37" t="n">
        <v>0</v>
      </c>
      <c r="J482" s="37" t="n">
        <v>0</v>
      </c>
      <c r="K482" s="37" t="n">
        <v>0</v>
      </c>
      <c r="L482" s="37" t="n">
        <v>0</v>
      </c>
      <c r="M482" s="37" t="n">
        <f aca="false">L482*104/100</f>
        <v>0</v>
      </c>
      <c r="N482" s="37" t="n">
        <v>0</v>
      </c>
      <c r="O482" s="33" t="n">
        <v>0</v>
      </c>
      <c r="P482" s="33" t="n">
        <v>0</v>
      </c>
      <c r="Q482" s="33" t="n">
        <v>0</v>
      </c>
      <c r="R482" s="37" t="n">
        <v>0</v>
      </c>
      <c r="T482" s="49"/>
      <c r="U482" s="49"/>
      <c r="V482" s="49"/>
      <c r="W482" s="44"/>
    </row>
    <row r="483" s="42" customFormat="true" ht="29.85" hidden="false" customHeight="true" outlineLevel="0" collapsed="false">
      <c r="A483" s="64"/>
      <c r="B483" s="54"/>
      <c r="C483" s="31" t="s">
        <v>35</v>
      </c>
      <c r="D483" s="36"/>
      <c r="E483" s="36"/>
      <c r="F483" s="37" t="n">
        <f aca="false">G483+H483+I483+J483+K483+L483+M483+N483+O483+P483+Q483+R483</f>
        <v>0</v>
      </c>
      <c r="G483" s="37" t="n">
        <v>0</v>
      </c>
      <c r="H483" s="37" t="n">
        <v>0</v>
      </c>
      <c r="I483" s="37" t="n">
        <v>0</v>
      </c>
      <c r="J483" s="37" t="n">
        <v>0</v>
      </c>
      <c r="K483" s="37" t="n">
        <v>0</v>
      </c>
      <c r="L483" s="37" t="n">
        <v>0</v>
      </c>
      <c r="M483" s="37" t="n">
        <f aca="false">L483*104/100</f>
        <v>0</v>
      </c>
      <c r="N483" s="37" t="n">
        <v>0</v>
      </c>
      <c r="O483" s="33" t="n">
        <v>0</v>
      </c>
      <c r="P483" s="33" t="n">
        <v>0</v>
      </c>
      <c r="Q483" s="33" t="n">
        <v>0</v>
      </c>
      <c r="R483" s="37" t="n">
        <v>0</v>
      </c>
      <c r="T483" s="49"/>
      <c r="U483" s="49"/>
      <c r="V483" s="49"/>
      <c r="W483" s="44"/>
    </row>
    <row r="484" s="42" customFormat="true" ht="73.85" hidden="false" customHeight="true" outlineLevel="0" collapsed="false">
      <c r="A484" s="64"/>
      <c r="B484" s="54"/>
      <c r="C484" s="31" t="s">
        <v>36</v>
      </c>
      <c r="D484" s="36"/>
      <c r="E484" s="36"/>
      <c r="F484" s="37" t="n">
        <f aca="false">G484+H484+I484+J484+K484+L484+M484+N484+O484+P484+Q484+R484</f>
        <v>0</v>
      </c>
      <c r="G484" s="37" t="n">
        <v>0</v>
      </c>
      <c r="H484" s="37" t="n">
        <v>0</v>
      </c>
      <c r="I484" s="37" t="n">
        <v>0</v>
      </c>
      <c r="J484" s="37" t="n">
        <v>0</v>
      </c>
      <c r="K484" s="37" t="n">
        <v>0</v>
      </c>
      <c r="L484" s="37" t="n">
        <v>0</v>
      </c>
      <c r="M484" s="37" t="n">
        <f aca="false">L484*104/100</f>
        <v>0</v>
      </c>
      <c r="N484" s="37" t="n">
        <v>0</v>
      </c>
      <c r="O484" s="33" t="n">
        <v>0</v>
      </c>
      <c r="P484" s="33" t="n">
        <v>0</v>
      </c>
      <c r="Q484" s="33" t="n">
        <v>0</v>
      </c>
      <c r="R484" s="37" t="n">
        <v>0</v>
      </c>
      <c r="T484" s="49"/>
      <c r="U484" s="49"/>
      <c r="V484" s="49"/>
      <c r="W484" s="44"/>
    </row>
    <row r="485" s="42" customFormat="true" ht="19.4" hidden="false" customHeight="true" outlineLevel="0" collapsed="false">
      <c r="A485" s="64" t="s">
        <v>182</v>
      </c>
      <c r="B485" s="54" t="s">
        <v>183</v>
      </c>
      <c r="C485" s="31" t="s">
        <v>30</v>
      </c>
      <c r="D485" s="36" t="s">
        <v>42</v>
      </c>
      <c r="E485" s="36" t="s">
        <v>181</v>
      </c>
      <c r="F485" s="37" t="n">
        <f aca="false">SUM(F486:F489)</f>
        <v>1953662.68576</v>
      </c>
      <c r="G485" s="37" t="n">
        <f aca="false">SUM(G486:G489)</f>
        <v>110928.82801</v>
      </c>
      <c r="H485" s="37" t="n">
        <f aca="false">SUM(H486:H489)</f>
        <v>109976.09592</v>
      </c>
      <c r="I485" s="37" t="n">
        <f aca="false">SUM(I486:I489)</f>
        <v>126202.5</v>
      </c>
      <c r="J485" s="37" t="n">
        <f aca="false">SUM(J486:J489)</f>
        <v>138609.68213</v>
      </c>
      <c r="K485" s="37" t="n">
        <f aca="false">SUM(K486:K489)</f>
        <v>157952.44744</v>
      </c>
      <c r="L485" s="37" t="n">
        <f aca="false">SUM(L486:L489)</f>
        <v>162917.38732</v>
      </c>
      <c r="M485" s="37" t="n">
        <f aca="false">SUM(M486:M489)</f>
        <v>178358.15186</v>
      </c>
      <c r="N485" s="37" t="n">
        <f aca="false">SUM(N486:N489)</f>
        <v>179084.03486</v>
      </c>
      <c r="O485" s="37" t="n">
        <f aca="false">SUM(O486:O489)</f>
        <v>180361.03622</v>
      </c>
      <c r="P485" s="37" t="n">
        <f aca="false">SUM(P486:P489)</f>
        <v>221110.29</v>
      </c>
      <c r="Q485" s="37" t="n">
        <f aca="false">SUM(Q486:Q489)</f>
        <v>194081.116</v>
      </c>
      <c r="R485" s="37" t="n">
        <f aca="false">SUM(R486:R489)</f>
        <v>194081.116</v>
      </c>
      <c r="T485" s="49"/>
      <c r="U485" s="49"/>
      <c r="V485" s="49"/>
      <c r="W485" s="44"/>
    </row>
    <row r="486" s="42" customFormat="true" ht="38.05" hidden="false" customHeight="true" outlineLevel="0" collapsed="false">
      <c r="A486" s="64"/>
      <c r="B486" s="54"/>
      <c r="C486" s="31" t="s">
        <v>31</v>
      </c>
      <c r="D486" s="36"/>
      <c r="E486" s="36"/>
      <c r="F486" s="37" t="n">
        <f aca="false">SUM(G486:R486)</f>
        <v>1154</v>
      </c>
      <c r="G486" s="37" t="n">
        <v>0</v>
      </c>
      <c r="H486" s="37" t="n">
        <v>0</v>
      </c>
      <c r="I486" s="37" t="n">
        <v>0</v>
      </c>
      <c r="J486" s="37" t="n">
        <v>0</v>
      </c>
      <c r="K486" s="37" t="n">
        <v>0</v>
      </c>
      <c r="L486" s="37" t="n">
        <v>1154</v>
      </c>
      <c r="M486" s="37" t="n">
        <v>0</v>
      </c>
      <c r="N486" s="37" t="n">
        <v>0</v>
      </c>
      <c r="O486" s="33" t="n">
        <v>0</v>
      </c>
      <c r="P486" s="33" t="n">
        <v>0</v>
      </c>
      <c r="Q486" s="33" t="n">
        <v>0</v>
      </c>
      <c r="R486" s="37" t="n">
        <v>0</v>
      </c>
      <c r="T486" s="49"/>
      <c r="U486" s="49"/>
      <c r="V486" s="49"/>
      <c r="W486" s="44"/>
    </row>
    <row r="487" s="42" customFormat="true" ht="24.6" hidden="false" customHeight="true" outlineLevel="0" collapsed="false">
      <c r="A487" s="64"/>
      <c r="B487" s="54"/>
      <c r="C487" s="31" t="s">
        <v>32</v>
      </c>
      <c r="D487" s="36"/>
      <c r="E487" s="36"/>
      <c r="F487" s="37" t="n">
        <f aca="false">SUM(G487:R487)</f>
        <v>1952508.68576</v>
      </c>
      <c r="G487" s="37" t="n">
        <v>110928.82801</v>
      </c>
      <c r="H487" s="37" t="n">
        <v>109976.09592</v>
      </c>
      <c r="I487" s="37" t="n">
        <v>126202.5</v>
      </c>
      <c r="J487" s="37" t="n">
        <v>138609.68213</v>
      </c>
      <c r="K487" s="37" t="n">
        <v>157952.44744</v>
      </c>
      <c r="L487" s="37" t="n">
        <v>161763.38732</v>
      </c>
      <c r="M487" s="37" t="n">
        <v>178358.15186</v>
      </c>
      <c r="N487" s="37" t="n">
        <v>179084.03486</v>
      </c>
      <c r="O487" s="37" t="n">
        <f aca="false">180341.03622+20</f>
        <v>180361.03622</v>
      </c>
      <c r="P487" s="37" t="n">
        <v>221110.29</v>
      </c>
      <c r="Q487" s="37" t="n">
        <v>194081.116</v>
      </c>
      <c r="R487" s="37" t="n">
        <v>194081.116</v>
      </c>
      <c r="T487" s="49"/>
      <c r="U487" s="49"/>
      <c r="V487" s="49"/>
      <c r="W487" s="44"/>
    </row>
    <row r="488" s="42" customFormat="true" ht="26.1" hidden="false" customHeight="true" outlineLevel="0" collapsed="false">
      <c r="A488" s="64"/>
      <c r="B488" s="54"/>
      <c r="C488" s="31" t="s">
        <v>33</v>
      </c>
      <c r="D488" s="36"/>
      <c r="E488" s="36"/>
      <c r="F488" s="37" t="n">
        <v>0</v>
      </c>
      <c r="G488" s="37" t="n">
        <v>0</v>
      </c>
      <c r="H488" s="37" t="n">
        <v>0</v>
      </c>
      <c r="I488" s="37" t="n">
        <v>0</v>
      </c>
      <c r="J488" s="37" t="n">
        <v>0</v>
      </c>
      <c r="K488" s="37" t="n">
        <v>0</v>
      </c>
      <c r="L488" s="37" t="n">
        <v>0</v>
      </c>
      <c r="M488" s="37" t="n">
        <f aca="false">L488*104/100</f>
        <v>0</v>
      </c>
      <c r="N488" s="37" t="n">
        <v>0</v>
      </c>
      <c r="O488" s="33" t="n">
        <v>0</v>
      </c>
      <c r="P488" s="33" t="n">
        <v>0</v>
      </c>
      <c r="Q488" s="33" t="n">
        <v>0</v>
      </c>
      <c r="R488" s="37" t="n">
        <v>0</v>
      </c>
      <c r="T488" s="49"/>
      <c r="U488" s="49"/>
      <c r="V488" s="49"/>
      <c r="W488" s="44"/>
    </row>
    <row r="489" s="42" customFormat="true" ht="35.8" hidden="false" customHeight="true" outlineLevel="0" collapsed="false">
      <c r="A489" s="64"/>
      <c r="B489" s="54"/>
      <c r="C489" s="31" t="s">
        <v>34</v>
      </c>
      <c r="D489" s="36"/>
      <c r="E489" s="36"/>
      <c r="F489" s="37" t="n">
        <v>0</v>
      </c>
      <c r="G489" s="37" t="n">
        <v>0</v>
      </c>
      <c r="H489" s="37" t="n">
        <v>0</v>
      </c>
      <c r="I489" s="37" t="n">
        <v>0</v>
      </c>
      <c r="J489" s="37" t="n">
        <v>0</v>
      </c>
      <c r="K489" s="37" t="n">
        <v>0</v>
      </c>
      <c r="L489" s="37" t="n">
        <v>0</v>
      </c>
      <c r="M489" s="37" t="n">
        <f aca="false">L489*104/100</f>
        <v>0</v>
      </c>
      <c r="N489" s="37" t="n">
        <v>0</v>
      </c>
      <c r="O489" s="33" t="n">
        <v>0</v>
      </c>
      <c r="P489" s="33" t="n">
        <v>0</v>
      </c>
      <c r="Q489" s="33" t="n">
        <v>0</v>
      </c>
      <c r="R489" s="37" t="n">
        <v>0</v>
      </c>
      <c r="T489" s="49"/>
      <c r="U489" s="49"/>
      <c r="V489" s="49"/>
      <c r="W489" s="44"/>
    </row>
    <row r="490" s="42" customFormat="true" ht="30.55" hidden="false" customHeight="true" outlineLevel="0" collapsed="false">
      <c r="A490" s="64"/>
      <c r="B490" s="54"/>
      <c r="C490" s="31" t="s">
        <v>35</v>
      </c>
      <c r="D490" s="36"/>
      <c r="E490" s="36"/>
      <c r="F490" s="37" t="n">
        <v>0</v>
      </c>
      <c r="G490" s="37" t="n">
        <v>0</v>
      </c>
      <c r="H490" s="37" t="n">
        <v>0</v>
      </c>
      <c r="I490" s="37" t="n">
        <v>0</v>
      </c>
      <c r="J490" s="37" t="n">
        <v>0</v>
      </c>
      <c r="K490" s="37" t="n">
        <v>0</v>
      </c>
      <c r="L490" s="37" t="n">
        <v>0</v>
      </c>
      <c r="M490" s="37" t="n">
        <f aca="false">L490*104/100</f>
        <v>0</v>
      </c>
      <c r="N490" s="37" t="n">
        <v>0</v>
      </c>
      <c r="O490" s="33" t="n">
        <v>0</v>
      </c>
      <c r="P490" s="33" t="n">
        <v>0</v>
      </c>
      <c r="Q490" s="33" t="n">
        <v>0</v>
      </c>
      <c r="R490" s="37" t="n">
        <v>0</v>
      </c>
      <c r="T490" s="49"/>
      <c r="U490" s="49"/>
      <c r="V490" s="49"/>
      <c r="W490" s="44"/>
    </row>
    <row r="491" s="42" customFormat="true" ht="75.35" hidden="false" customHeight="true" outlineLevel="0" collapsed="false">
      <c r="A491" s="64"/>
      <c r="B491" s="54"/>
      <c r="C491" s="31" t="s">
        <v>36</v>
      </c>
      <c r="D491" s="36"/>
      <c r="E491" s="36"/>
      <c r="F491" s="37" t="n">
        <v>0</v>
      </c>
      <c r="G491" s="37" t="n">
        <v>0</v>
      </c>
      <c r="H491" s="37" t="n">
        <v>0</v>
      </c>
      <c r="I491" s="37" t="n">
        <v>0</v>
      </c>
      <c r="J491" s="37" t="n">
        <v>0</v>
      </c>
      <c r="K491" s="37" t="n">
        <v>0</v>
      </c>
      <c r="L491" s="37" t="n">
        <v>0</v>
      </c>
      <c r="M491" s="37" t="n">
        <f aca="false">L491*104/100</f>
        <v>0</v>
      </c>
      <c r="N491" s="37" t="n">
        <v>0</v>
      </c>
      <c r="O491" s="33" t="n">
        <v>0</v>
      </c>
      <c r="P491" s="33" t="n">
        <v>0</v>
      </c>
      <c r="Q491" s="33" t="n">
        <v>0</v>
      </c>
      <c r="R491" s="37" t="n">
        <v>0</v>
      </c>
      <c r="T491" s="49"/>
      <c r="U491" s="49"/>
      <c r="V491" s="49"/>
      <c r="W491" s="44"/>
    </row>
    <row r="492" s="42" customFormat="true" ht="18.65" hidden="false" customHeight="true" outlineLevel="0" collapsed="false">
      <c r="A492" s="64" t="s">
        <v>184</v>
      </c>
      <c r="B492" s="54" t="s">
        <v>185</v>
      </c>
      <c r="C492" s="31" t="s">
        <v>30</v>
      </c>
      <c r="D492" s="79"/>
      <c r="E492" s="36" t="s">
        <v>181</v>
      </c>
      <c r="F492" s="37" t="n">
        <f aca="false">SUM(F493:F498)</f>
        <v>17232.3376</v>
      </c>
      <c r="G492" s="37" t="n">
        <f aca="false">SUM(G493:G498)</f>
        <v>785.6566</v>
      </c>
      <c r="H492" s="37" t="n">
        <f aca="false">SUM(H493:H498)</f>
        <v>163.231</v>
      </c>
      <c r="I492" s="37" t="n">
        <f aca="false">SUM(I493:I498)</f>
        <v>979.93</v>
      </c>
      <c r="J492" s="37" t="n">
        <f aca="false">SUM(J493:J498)</f>
        <v>268</v>
      </c>
      <c r="K492" s="37" t="n">
        <f aca="false">SUM(K493:K498)</f>
        <v>452.5</v>
      </c>
      <c r="L492" s="37" t="n">
        <f aca="false">SUM(L493:L498)</f>
        <v>1051.83</v>
      </c>
      <c r="M492" s="37" t="n">
        <f aca="false">SUM(M493:M498)</f>
        <v>3117.83</v>
      </c>
      <c r="N492" s="37" t="n">
        <f aca="false">SUM(N493:N498)</f>
        <v>6945</v>
      </c>
      <c r="O492" s="37" t="n">
        <f aca="false">SUM(O493:O498)</f>
        <v>3468.36</v>
      </c>
      <c r="P492" s="37" t="n">
        <f aca="false">SUM(P493:P498)</f>
        <v>0</v>
      </c>
      <c r="Q492" s="37" t="n">
        <f aca="false">SUM(Q493:Q498)</f>
        <v>0</v>
      </c>
      <c r="R492" s="37" t="n">
        <f aca="false">SUM(R493:R498)</f>
        <v>0</v>
      </c>
      <c r="T492" s="49"/>
      <c r="U492" s="49"/>
      <c r="V492" s="49"/>
      <c r="W492" s="44"/>
    </row>
    <row r="493" s="42" customFormat="true" ht="36.55" hidden="false" customHeight="true" outlineLevel="0" collapsed="false">
      <c r="A493" s="64"/>
      <c r="B493" s="54"/>
      <c r="C493" s="31" t="s">
        <v>31</v>
      </c>
      <c r="D493" s="36"/>
      <c r="E493" s="36"/>
      <c r="F493" s="37" t="n">
        <v>0</v>
      </c>
      <c r="G493" s="37" t="n">
        <v>0</v>
      </c>
      <c r="H493" s="37" t="n">
        <v>0</v>
      </c>
      <c r="I493" s="37" t="n">
        <v>0</v>
      </c>
      <c r="J493" s="37" t="n">
        <v>0</v>
      </c>
      <c r="K493" s="37" t="n">
        <v>0</v>
      </c>
      <c r="L493" s="37" t="n">
        <v>0</v>
      </c>
      <c r="M493" s="37" t="n">
        <f aca="false">L493*104/100</f>
        <v>0</v>
      </c>
      <c r="N493" s="37" t="n">
        <v>0</v>
      </c>
      <c r="O493" s="33" t="n">
        <v>0</v>
      </c>
      <c r="P493" s="33" t="n">
        <v>0</v>
      </c>
      <c r="Q493" s="33" t="n">
        <v>0</v>
      </c>
      <c r="R493" s="37" t="n">
        <v>0</v>
      </c>
      <c r="T493" s="49"/>
      <c r="U493" s="49"/>
      <c r="V493" s="49"/>
      <c r="W493" s="44"/>
    </row>
    <row r="494" s="42" customFormat="true" ht="29.85" hidden="false" customHeight="true" outlineLevel="0" collapsed="false">
      <c r="A494" s="64"/>
      <c r="B494" s="54"/>
      <c r="C494" s="31" t="s">
        <v>32</v>
      </c>
      <c r="D494" s="36" t="s">
        <v>42</v>
      </c>
      <c r="E494" s="36" t="s">
        <v>170</v>
      </c>
      <c r="F494" s="37" t="n">
        <f aca="false">SUM(G494:R494)</f>
        <v>17232.3376</v>
      </c>
      <c r="G494" s="37" t="n">
        <v>785.6566</v>
      </c>
      <c r="H494" s="37" t="n">
        <v>163.231</v>
      </c>
      <c r="I494" s="37" t="n">
        <v>979.93</v>
      </c>
      <c r="J494" s="37" t="n">
        <v>268</v>
      </c>
      <c r="K494" s="37" t="n">
        <v>452.5</v>
      </c>
      <c r="L494" s="37" t="n">
        <v>1051.83</v>
      </c>
      <c r="M494" s="37" t="n">
        <f aca="false">3117.83</f>
        <v>3117.83</v>
      </c>
      <c r="N494" s="37" t="n">
        <v>6945</v>
      </c>
      <c r="O494" s="37" t="n">
        <v>3468.36</v>
      </c>
      <c r="P494" s="37" t="n">
        <v>0</v>
      </c>
      <c r="Q494" s="37" t="n">
        <v>0</v>
      </c>
      <c r="R494" s="37" t="n">
        <f aca="false">Q494*1.04</f>
        <v>0</v>
      </c>
      <c r="T494" s="49"/>
      <c r="U494" s="49"/>
      <c r="V494" s="49"/>
      <c r="W494" s="44"/>
    </row>
    <row r="495" s="42" customFormat="true" ht="27.6" hidden="false" customHeight="true" outlineLevel="0" collapsed="false">
      <c r="A495" s="64"/>
      <c r="B495" s="54"/>
      <c r="C495" s="31" t="s">
        <v>33</v>
      </c>
      <c r="D495" s="36"/>
      <c r="E495" s="36"/>
      <c r="F495" s="37" t="n">
        <f aca="false">SUM(G495:R495)</f>
        <v>0</v>
      </c>
      <c r="G495" s="37" t="n">
        <v>0</v>
      </c>
      <c r="H495" s="37" t="n">
        <v>0</v>
      </c>
      <c r="I495" s="37" t="n">
        <v>0</v>
      </c>
      <c r="J495" s="37" t="n">
        <v>0</v>
      </c>
      <c r="K495" s="37" t="n">
        <v>0</v>
      </c>
      <c r="L495" s="37" t="n">
        <v>0</v>
      </c>
      <c r="M495" s="37" t="n">
        <f aca="false">L495*104/100</f>
        <v>0</v>
      </c>
      <c r="N495" s="37" t="n">
        <v>0</v>
      </c>
      <c r="O495" s="33" t="n">
        <v>0</v>
      </c>
      <c r="P495" s="33" t="n">
        <v>0</v>
      </c>
      <c r="Q495" s="33" t="n">
        <v>0</v>
      </c>
      <c r="R495" s="37" t="n">
        <f aca="false">Q495*1.04</f>
        <v>0</v>
      </c>
      <c r="T495" s="49"/>
      <c r="U495" s="49"/>
      <c r="V495" s="49"/>
      <c r="W495" s="44"/>
    </row>
    <row r="496" s="42" customFormat="true" ht="24.85" hidden="false" customHeight="false" outlineLevel="0" collapsed="false">
      <c r="A496" s="64"/>
      <c r="B496" s="54"/>
      <c r="C496" s="31" t="s">
        <v>32</v>
      </c>
      <c r="D496" s="36" t="s">
        <v>117</v>
      </c>
      <c r="E496" s="36" t="s">
        <v>170</v>
      </c>
      <c r="F496" s="37" t="n">
        <f aca="false">SUM(G496:R496)</f>
        <v>0</v>
      </c>
      <c r="G496" s="37" t="n">
        <v>0</v>
      </c>
      <c r="H496" s="37" t="n">
        <v>0</v>
      </c>
      <c r="I496" s="37" t="n">
        <v>0</v>
      </c>
      <c r="J496" s="37" t="n">
        <v>0</v>
      </c>
      <c r="K496" s="37" t="n">
        <v>0</v>
      </c>
      <c r="L496" s="37" t="n">
        <v>0</v>
      </c>
      <c r="M496" s="37" t="n">
        <v>0</v>
      </c>
      <c r="N496" s="37" t="n">
        <v>0</v>
      </c>
      <c r="O496" s="33" t="n">
        <v>0</v>
      </c>
      <c r="P496" s="33" t="n">
        <v>0</v>
      </c>
      <c r="Q496" s="33" t="n">
        <v>0</v>
      </c>
      <c r="R496" s="37" t="n">
        <f aca="false">Q496*1.04</f>
        <v>0</v>
      </c>
      <c r="T496" s="49"/>
      <c r="U496" s="49"/>
      <c r="V496" s="49"/>
      <c r="W496" s="44"/>
    </row>
    <row r="497" s="42" customFormat="true" ht="43.25" hidden="false" customHeight="true" outlineLevel="0" collapsed="false">
      <c r="A497" s="64"/>
      <c r="B497" s="54"/>
      <c r="C497" s="31" t="s">
        <v>34</v>
      </c>
      <c r="D497" s="36"/>
      <c r="E497" s="36"/>
      <c r="F497" s="37" t="n">
        <v>0</v>
      </c>
      <c r="G497" s="37" t="n">
        <v>0</v>
      </c>
      <c r="H497" s="37" t="n">
        <v>0</v>
      </c>
      <c r="I497" s="37" t="n">
        <v>0</v>
      </c>
      <c r="J497" s="37" t="n">
        <v>0</v>
      </c>
      <c r="K497" s="37" t="n">
        <v>0</v>
      </c>
      <c r="L497" s="37" t="n">
        <v>0</v>
      </c>
      <c r="M497" s="37" t="n">
        <f aca="false">L497*104/100</f>
        <v>0</v>
      </c>
      <c r="N497" s="37" t="n">
        <v>0</v>
      </c>
      <c r="O497" s="33" t="n">
        <v>0</v>
      </c>
      <c r="P497" s="33" t="n">
        <v>0</v>
      </c>
      <c r="Q497" s="33" t="n">
        <v>0</v>
      </c>
      <c r="R497" s="37" t="n">
        <v>0</v>
      </c>
      <c r="T497" s="49"/>
      <c r="U497" s="49"/>
      <c r="V497" s="49"/>
      <c r="W497" s="44"/>
    </row>
    <row r="498" s="42" customFormat="true" ht="32.05" hidden="false" customHeight="true" outlineLevel="0" collapsed="false">
      <c r="A498" s="64"/>
      <c r="B498" s="54"/>
      <c r="C498" s="31" t="s">
        <v>35</v>
      </c>
      <c r="D498" s="36"/>
      <c r="E498" s="36"/>
      <c r="F498" s="37" t="n">
        <v>0</v>
      </c>
      <c r="G498" s="37" t="n">
        <v>0</v>
      </c>
      <c r="H498" s="37" t="n">
        <v>0</v>
      </c>
      <c r="I498" s="37" t="n">
        <v>0</v>
      </c>
      <c r="J498" s="37" t="n">
        <v>0</v>
      </c>
      <c r="K498" s="37" t="n">
        <v>0</v>
      </c>
      <c r="L498" s="37" t="n">
        <v>0</v>
      </c>
      <c r="M498" s="37" t="n">
        <f aca="false">L498*104/100</f>
        <v>0</v>
      </c>
      <c r="N498" s="37" t="n">
        <v>0</v>
      </c>
      <c r="O498" s="33" t="n">
        <v>0</v>
      </c>
      <c r="P498" s="33" t="n">
        <v>0</v>
      </c>
      <c r="Q498" s="33" t="n">
        <v>0</v>
      </c>
      <c r="R498" s="37" t="n">
        <v>0</v>
      </c>
      <c r="T498" s="49"/>
      <c r="U498" s="49"/>
      <c r="V498" s="49"/>
      <c r="W498" s="44"/>
    </row>
    <row r="499" s="42" customFormat="true" ht="74.6" hidden="false" customHeight="true" outlineLevel="0" collapsed="false">
      <c r="A499" s="64"/>
      <c r="B499" s="54"/>
      <c r="C499" s="31" t="s">
        <v>36</v>
      </c>
      <c r="D499" s="36"/>
      <c r="E499" s="34"/>
      <c r="F499" s="37" t="n">
        <v>0</v>
      </c>
      <c r="G499" s="37" t="n">
        <v>0</v>
      </c>
      <c r="H499" s="37" t="n">
        <v>0</v>
      </c>
      <c r="I499" s="37" t="n">
        <v>0</v>
      </c>
      <c r="J499" s="37" t="n">
        <v>0</v>
      </c>
      <c r="K499" s="37" t="n">
        <v>0</v>
      </c>
      <c r="L499" s="37" t="n">
        <v>0</v>
      </c>
      <c r="M499" s="37" t="n">
        <f aca="false">L499*104/100</f>
        <v>0</v>
      </c>
      <c r="N499" s="37" t="n">
        <v>0</v>
      </c>
      <c r="O499" s="33" t="n">
        <v>0</v>
      </c>
      <c r="P499" s="33" t="n">
        <v>0</v>
      </c>
      <c r="Q499" s="33" t="n">
        <v>0</v>
      </c>
      <c r="R499" s="37" t="n">
        <v>0</v>
      </c>
      <c r="T499" s="49"/>
      <c r="U499" s="49"/>
      <c r="V499" s="49"/>
      <c r="W499" s="44"/>
    </row>
    <row r="500" s="42" customFormat="true" ht="19.4" hidden="false" customHeight="true" outlineLevel="0" collapsed="false">
      <c r="A500" s="64" t="s">
        <v>186</v>
      </c>
      <c r="B500" s="54" t="s">
        <v>187</v>
      </c>
      <c r="C500" s="31" t="s">
        <v>30</v>
      </c>
      <c r="D500" s="36"/>
      <c r="E500" s="36" t="s">
        <v>188</v>
      </c>
      <c r="F500" s="37" t="n">
        <f aca="false">SUM(G500:R500)</f>
        <v>2013549.67419</v>
      </c>
      <c r="G500" s="37" t="n">
        <f aca="false">SUM(G501:G512)</f>
        <v>0</v>
      </c>
      <c r="H500" s="37" t="n">
        <f aca="false">SUM(H501:H512)</f>
        <v>0</v>
      </c>
      <c r="I500" s="37" t="n">
        <f aca="false">SUM(I501:I512)</f>
        <v>0</v>
      </c>
      <c r="J500" s="37" t="n">
        <f aca="false">SUM(J501:J512)</f>
        <v>0</v>
      </c>
      <c r="K500" s="37" t="n">
        <f aca="false">SUM(K501:K512)</f>
        <v>0</v>
      </c>
      <c r="L500" s="37" t="n">
        <f aca="false">SUM(L501:L512)</f>
        <v>0</v>
      </c>
      <c r="M500" s="37" t="n">
        <f aca="false">SUM(M501:M512)</f>
        <v>0</v>
      </c>
      <c r="N500" s="37" t="n">
        <f aca="false">SUM(N501:N513)</f>
        <v>323756.87325</v>
      </c>
      <c r="O500" s="37" t="n">
        <f aca="false">SUM(O501:O513)</f>
        <v>404814.33859</v>
      </c>
      <c r="P500" s="37" t="n">
        <f aca="false">SUM(P501:P513)</f>
        <v>487816.54435</v>
      </c>
      <c r="Q500" s="37" t="n">
        <f aca="false">SUM(Q501:Q512)</f>
        <v>398580.959</v>
      </c>
      <c r="R500" s="37" t="n">
        <f aca="false">SUM(R501:R512)</f>
        <v>398580.959</v>
      </c>
      <c r="T500" s="74"/>
      <c r="U500" s="78"/>
      <c r="V500" s="78"/>
      <c r="W500" s="44"/>
    </row>
    <row r="501" s="42" customFormat="true" ht="35.05" hidden="false" customHeight="true" outlineLevel="0" collapsed="false">
      <c r="A501" s="64"/>
      <c r="B501" s="54"/>
      <c r="C501" s="31" t="s">
        <v>31</v>
      </c>
      <c r="D501" s="36"/>
      <c r="E501" s="36"/>
      <c r="F501" s="37" t="n">
        <f aca="false">F515+F526+F536+F545</f>
        <v>0</v>
      </c>
      <c r="G501" s="37" t="n">
        <f aca="false">G515+G526+G536+G545</f>
        <v>0</v>
      </c>
      <c r="H501" s="37" t="n">
        <f aca="false">H515+H526+H536+H545</f>
        <v>0</v>
      </c>
      <c r="I501" s="37" t="n">
        <f aca="false">I515+I526+I536+I545</f>
        <v>0</v>
      </c>
      <c r="J501" s="37" t="n">
        <f aca="false">J515+J526+J536+J545</f>
        <v>0</v>
      </c>
      <c r="K501" s="37" t="n">
        <f aca="false">K515+K526+K536+K545</f>
        <v>0</v>
      </c>
      <c r="L501" s="37" t="n">
        <f aca="false">L515+L526+L536+L545</f>
        <v>0</v>
      </c>
      <c r="M501" s="37" t="n">
        <f aca="false">M515+M526+M536+M545</f>
        <v>0</v>
      </c>
      <c r="N501" s="37" t="n">
        <f aca="false">N515+N526+N536+N545</f>
        <v>0</v>
      </c>
      <c r="O501" s="37" t="n">
        <f aca="false">O515+O526+O536+O545</f>
        <v>0</v>
      </c>
      <c r="P501" s="37" t="n">
        <f aca="false">P515+P526+P536+P545</f>
        <v>0</v>
      </c>
      <c r="Q501" s="37" t="n">
        <f aca="false">Q515+Q526+Q536+Q545</f>
        <v>0</v>
      </c>
      <c r="R501" s="37" t="n">
        <f aca="false">R515+R526+R536+R545</f>
        <v>0</v>
      </c>
      <c r="T501" s="74"/>
      <c r="U501" s="74"/>
      <c r="V501" s="74"/>
      <c r="W501" s="44"/>
    </row>
    <row r="502" s="42" customFormat="true" ht="26.85" hidden="false" customHeight="true" outlineLevel="0" collapsed="false">
      <c r="A502" s="64"/>
      <c r="B502" s="54"/>
      <c r="C502" s="31" t="s">
        <v>32</v>
      </c>
      <c r="D502" s="36" t="s">
        <v>42</v>
      </c>
      <c r="E502" s="36" t="s">
        <v>188</v>
      </c>
      <c r="F502" s="37" t="n">
        <f aca="false">F516+F527+F547</f>
        <v>1453674.49205</v>
      </c>
      <c r="G502" s="37" t="n">
        <f aca="false">G516+G527+G547</f>
        <v>0</v>
      </c>
      <c r="H502" s="37" t="n">
        <f aca="false">H516+H527+H547</f>
        <v>0</v>
      </c>
      <c r="I502" s="37" t="n">
        <f aca="false">I516+I527+I547</f>
        <v>0</v>
      </c>
      <c r="J502" s="37" t="n">
        <f aca="false">J516+J527+J547</f>
        <v>0</v>
      </c>
      <c r="K502" s="37" t="n">
        <f aca="false">K516+K527+K547</f>
        <v>0</v>
      </c>
      <c r="L502" s="37" t="n">
        <f aca="false">L516+L527+L547</f>
        <v>0</v>
      </c>
      <c r="M502" s="37" t="n">
        <f aca="false">M516+M527+M547</f>
        <v>0</v>
      </c>
      <c r="N502" s="37" t="n">
        <f aca="false">N516+N527+N547</f>
        <v>247853.0086</v>
      </c>
      <c r="O502" s="37" t="n">
        <f aca="false">O516+O527+O547</f>
        <v>298292.58545</v>
      </c>
      <c r="P502" s="37" t="n">
        <f aca="false">P516+P527+P547</f>
        <v>282482.38</v>
      </c>
      <c r="Q502" s="37" t="n">
        <f aca="false">Q516+Q527+Q547</f>
        <v>312523.259</v>
      </c>
      <c r="R502" s="37" t="n">
        <f aca="false">R516+R527+R547</f>
        <v>312523.259</v>
      </c>
      <c r="T502" s="69" t="n">
        <f aca="false">468540.08-P500</f>
        <v>-19276.46435</v>
      </c>
      <c r="U502" s="80" t="n">
        <f aca="false">398580.959-Q500</f>
        <v>-5.82076609134674E-011</v>
      </c>
      <c r="V502" s="69" t="n">
        <f aca="false">398580.959-R500</f>
        <v>-5.82076609134674E-011</v>
      </c>
      <c r="W502" s="44"/>
    </row>
    <row r="503" s="42" customFormat="true" ht="26.1" hidden="false" customHeight="true" outlineLevel="0" collapsed="false">
      <c r="A503" s="64"/>
      <c r="B503" s="54"/>
      <c r="C503" s="31" t="s">
        <v>32</v>
      </c>
      <c r="D503" s="36" t="s">
        <v>124</v>
      </c>
      <c r="E503" s="36" t="s">
        <v>188</v>
      </c>
      <c r="F503" s="37" t="n">
        <f aca="false">F517+F529+F538+F546</f>
        <v>310.65</v>
      </c>
      <c r="G503" s="37" t="n">
        <f aca="false">G517+G529+G538+G546</f>
        <v>0</v>
      </c>
      <c r="H503" s="37" t="n">
        <f aca="false">H517+H529+H538+H546</f>
        <v>0</v>
      </c>
      <c r="I503" s="37" t="n">
        <f aca="false">I517+I529+I538+I546</f>
        <v>0</v>
      </c>
      <c r="J503" s="37" t="n">
        <f aca="false">J517+J529+J538+J546</f>
        <v>0</v>
      </c>
      <c r="K503" s="37" t="n">
        <f aca="false">K517+K529+K538+K546</f>
        <v>0</v>
      </c>
      <c r="L503" s="37" t="n">
        <f aca="false">L517+L529+L538+L546</f>
        <v>0</v>
      </c>
      <c r="M503" s="37" t="n">
        <f aca="false">M517+M529+M538+M546</f>
        <v>0</v>
      </c>
      <c r="N503" s="37" t="n">
        <f aca="false">N517</f>
        <v>0</v>
      </c>
      <c r="O503" s="37" t="n">
        <f aca="false">O517+O529+O538+O546</f>
        <v>310.65</v>
      </c>
      <c r="P503" s="37" t="n">
        <f aca="false">P517+P529+P538+P546</f>
        <v>0</v>
      </c>
      <c r="Q503" s="37" t="n">
        <f aca="false">Q517+Q529+Q538+Q546</f>
        <v>0</v>
      </c>
      <c r="R503" s="37" t="n">
        <f aca="false">R517+R529+R538+R546</f>
        <v>0</v>
      </c>
      <c r="T503" s="74" t="n">
        <f aca="false">310.65-O503</f>
        <v>0</v>
      </c>
      <c r="U503" s="74"/>
      <c r="V503" s="74"/>
      <c r="W503" s="44"/>
    </row>
    <row r="504" s="42" customFormat="true" ht="23.1" hidden="false" customHeight="true" outlineLevel="0" collapsed="false">
      <c r="A504" s="64"/>
      <c r="B504" s="54"/>
      <c r="C504" s="31" t="s">
        <v>32</v>
      </c>
      <c r="D504" s="36" t="s">
        <v>49</v>
      </c>
      <c r="E504" s="36" t="s">
        <v>188</v>
      </c>
      <c r="F504" s="37" t="n">
        <f aca="false">F528+F537</f>
        <v>416112.67779</v>
      </c>
      <c r="G504" s="37" t="n">
        <f aca="false">G518+G530+G539+G547</f>
        <v>0</v>
      </c>
      <c r="H504" s="37" t="n">
        <f aca="false">H518+H530+H539+H547</f>
        <v>0</v>
      </c>
      <c r="I504" s="37" t="n">
        <f aca="false">I518+I530+I539+I547</f>
        <v>0</v>
      </c>
      <c r="J504" s="37" t="n">
        <f aca="false">J518+J530+J539+J547</f>
        <v>0</v>
      </c>
      <c r="K504" s="37" t="n">
        <f aca="false">K518+K530+K539+K547</f>
        <v>0</v>
      </c>
      <c r="L504" s="37" t="n">
        <f aca="false">L518+L530+L539+L547</f>
        <v>0</v>
      </c>
      <c r="M504" s="37" t="n">
        <f aca="false">M518+M530+M539+M547</f>
        <v>0</v>
      </c>
      <c r="N504" s="37" t="n">
        <f aca="false">N528+N537</f>
        <v>75903.86465</v>
      </c>
      <c r="O504" s="37" t="n">
        <f aca="false">O528+O537</f>
        <v>82035.71314</v>
      </c>
      <c r="P504" s="37" t="n">
        <f aca="false">P528+P537</f>
        <v>86057.7</v>
      </c>
      <c r="Q504" s="37" t="n">
        <f aca="false">Q528+Q537</f>
        <v>86057.7</v>
      </c>
      <c r="R504" s="37" t="n">
        <f aca="false">R518+R528+R537</f>
        <v>86057.7</v>
      </c>
      <c r="T504" s="74" t="n">
        <f aca="false">86057.7-P504</f>
        <v>0</v>
      </c>
      <c r="U504" s="81" t="n">
        <f aca="false">86057.7-Q504</f>
        <v>0</v>
      </c>
      <c r="V504" s="74" t="n">
        <f aca="false">86057.7-R504</f>
        <v>0</v>
      </c>
      <c r="W504" s="44"/>
    </row>
    <row r="505" s="42" customFormat="true" ht="22.5" hidden="false" customHeight="false" outlineLevel="0" collapsed="false">
      <c r="A505" s="64"/>
      <c r="B505" s="54"/>
      <c r="C505" s="31" t="s">
        <v>32</v>
      </c>
      <c r="D505" s="36" t="s">
        <v>58</v>
      </c>
      <c r="E505" s="36" t="s">
        <v>188</v>
      </c>
      <c r="F505" s="37" t="n">
        <f aca="false">F519</f>
        <v>124175.39</v>
      </c>
      <c r="G505" s="37" t="n">
        <f aca="false">G520+G531+G540+G548</f>
        <v>0</v>
      </c>
      <c r="H505" s="37" t="n">
        <f aca="false">H520+H531+H540+H548</f>
        <v>0</v>
      </c>
      <c r="I505" s="37" t="n">
        <f aca="false">I520+I531+I540+I548</f>
        <v>0</v>
      </c>
      <c r="J505" s="37" t="n">
        <f aca="false">J520+J531+J540+J548</f>
        <v>0</v>
      </c>
      <c r="K505" s="37" t="n">
        <f aca="false">K520+K531+K540+K548</f>
        <v>0</v>
      </c>
      <c r="L505" s="37" t="n">
        <f aca="false">L520+L531+L540+L548</f>
        <v>0</v>
      </c>
      <c r="M505" s="37" t="n">
        <f aca="false">M520+M531+M540+M548</f>
        <v>0</v>
      </c>
      <c r="N505" s="37" t="n">
        <f aca="false">N520+N531+N540+N548</f>
        <v>0</v>
      </c>
      <c r="O505" s="37" t="n">
        <f aca="false">O519</f>
        <v>24175.39</v>
      </c>
      <c r="P505" s="37" t="n">
        <f aca="false">P519</f>
        <v>100000</v>
      </c>
      <c r="Q505" s="37" t="n">
        <f aca="false">Q519</f>
        <v>0</v>
      </c>
      <c r="R505" s="37" t="n">
        <f aca="false">R520+R531+R540+R548</f>
        <v>0</v>
      </c>
      <c r="T505" s="49" t="n">
        <f aca="false">100000-P505</f>
        <v>0</v>
      </c>
      <c r="U505" s="49" t="n">
        <v>0</v>
      </c>
      <c r="V505" s="49" t="n">
        <v>0</v>
      </c>
      <c r="W505" s="44"/>
    </row>
    <row r="506" s="42" customFormat="true" ht="22.5" hidden="false" customHeight="false" outlineLevel="0" collapsed="false">
      <c r="A506" s="64"/>
      <c r="B506" s="54"/>
      <c r="C506" s="31" t="s">
        <v>32</v>
      </c>
      <c r="D506" s="36" t="s">
        <v>59</v>
      </c>
      <c r="E506" s="36" t="s">
        <v>188</v>
      </c>
      <c r="F506" s="37" t="n">
        <f aca="false">F521+F532+F541+F549</f>
        <v>0</v>
      </c>
      <c r="G506" s="37" t="n">
        <f aca="false">G521+G532+G541+G549</f>
        <v>0</v>
      </c>
      <c r="H506" s="37" t="n">
        <f aca="false">H521+H532+H541+H549</f>
        <v>0</v>
      </c>
      <c r="I506" s="37" t="n">
        <f aca="false">I521+I532+I541+I549</f>
        <v>0</v>
      </c>
      <c r="J506" s="37" t="n">
        <f aca="false">J521+J532+J541+J549</f>
        <v>0</v>
      </c>
      <c r="K506" s="37" t="n">
        <f aca="false">K521+K532+K541+K549</f>
        <v>0</v>
      </c>
      <c r="L506" s="37" t="n">
        <f aca="false">L521+L532+L541+L549</f>
        <v>0</v>
      </c>
      <c r="M506" s="37" t="n">
        <f aca="false">M521+M532+M541+M549</f>
        <v>0</v>
      </c>
      <c r="N506" s="37" t="n">
        <f aca="false">N521+N532+N541+N549</f>
        <v>0</v>
      </c>
      <c r="O506" s="37" t="n">
        <f aca="false">O521+O532+O541+O549</f>
        <v>0</v>
      </c>
      <c r="P506" s="37" t="n">
        <f aca="false">P521+P532+P541+P549</f>
        <v>0</v>
      </c>
      <c r="Q506" s="37" t="n">
        <f aca="false">Q521+Q532+Q541+Q549</f>
        <v>0</v>
      </c>
      <c r="R506" s="37" t="n">
        <f aca="false">R521+R532+R541+R549</f>
        <v>0</v>
      </c>
      <c r="T506" s="49"/>
      <c r="U506" s="49"/>
      <c r="V506" s="49"/>
      <c r="W506" s="44"/>
    </row>
    <row r="507" s="42" customFormat="true" ht="22.5" hidden="false" customHeight="false" outlineLevel="0" collapsed="false">
      <c r="A507" s="64"/>
      <c r="B507" s="54"/>
      <c r="C507" s="31" t="s">
        <v>32</v>
      </c>
      <c r="D507" s="36" t="s">
        <v>189</v>
      </c>
      <c r="E507" s="36" t="s">
        <v>188</v>
      </c>
      <c r="F507" s="37" t="n">
        <f aca="false">F522+F533+F542+F550</f>
        <v>0</v>
      </c>
      <c r="G507" s="37" t="n">
        <f aca="false">G522+G533+G542+G550</f>
        <v>0</v>
      </c>
      <c r="H507" s="37" t="n">
        <f aca="false">H522+H533+H542+H550</f>
        <v>0</v>
      </c>
      <c r="I507" s="37" t="n">
        <f aca="false">I522+I533+I542+I550</f>
        <v>0</v>
      </c>
      <c r="J507" s="37" t="n">
        <f aca="false">J522+J533+J542+J550</f>
        <v>0</v>
      </c>
      <c r="K507" s="37" t="n">
        <f aca="false">K522+K533+K542+K550</f>
        <v>0</v>
      </c>
      <c r="L507" s="37" t="n">
        <f aca="false">L522+L533+L542+L550</f>
        <v>0</v>
      </c>
      <c r="M507" s="37" t="n">
        <f aca="false">M522+M533+M542+M550</f>
        <v>0</v>
      </c>
      <c r="N507" s="37" t="n">
        <f aca="false">N522+N533+N542+N550</f>
        <v>0</v>
      </c>
      <c r="O507" s="37" t="n">
        <f aca="false">O522+O533+O542+O550</f>
        <v>0</v>
      </c>
      <c r="P507" s="37" t="n">
        <f aca="false">P522+P533+P542+P550</f>
        <v>0</v>
      </c>
      <c r="Q507" s="37" t="n">
        <f aca="false">Q522+Q533+Q542+Q550</f>
        <v>0</v>
      </c>
      <c r="R507" s="37" t="n">
        <f aca="false">R522+R533+R542+R550</f>
        <v>0</v>
      </c>
      <c r="T507" s="49"/>
      <c r="U507" s="49"/>
      <c r="V507" s="49"/>
      <c r="W507" s="44"/>
    </row>
    <row r="508" s="42" customFormat="true" ht="22.5" hidden="false" customHeight="false" outlineLevel="0" collapsed="false">
      <c r="A508" s="64"/>
      <c r="B508" s="54"/>
      <c r="C508" s="31" t="s">
        <v>32</v>
      </c>
      <c r="D508" s="36" t="s">
        <v>117</v>
      </c>
      <c r="E508" s="36" t="s">
        <v>188</v>
      </c>
      <c r="F508" s="37" t="n">
        <f aca="false">F518</f>
        <v>0</v>
      </c>
      <c r="G508" s="37" t="n">
        <f aca="false">G518</f>
        <v>0</v>
      </c>
      <c r="H508" s="37" t="n">
        <f aca="false">H518</f>
        <v>0</v>
      </c>
      <c r="I508" s="37" t="n">
        <f aca="false">I518</f>
        <v>0</v>
      </c>
      <c r="J508" s="37" t="n">
        <f aca="false">J518</f>
        <v>0</v>
      </c>
      <c r="K508" s="37" t="n">
        <f aca="false">K518</f>
        <v>0</v>
      </c>
      <c r="L508" s="37" t="n">
        <f aca="false">L518</f>
        <v>0</v>
      </c>
      <c r="M508" s="37" t="n">
        <f aca="false">M518</f>
        <v>0</v>
      </c>
      <c r="N508" s="37" t="n">
        <f aca="false">N518</f>
        <v>0</v>
      </c>
      <c r="O508" s="37" t="n">
        <f aca="false">O518</f>
        <v>0</v>
      </c>
      <c r="P508" s="37" t="n">
        <f aca="false">P518</f>
        <v>0</v>
      </c>
      <c r="Q508" s="37" t="n">
        <f aca="false">Q518</f>
        <v>0</v>
      </c>
      <c r="R508" s="37" t="n">
        <f aca="false">R518</f>
        <v>0</v>
      </c>
      <c r="T508" s="49"/>
      <c r="U508" s="49"/>
      <c r="V508" s="49"/>
      <c r="W508" s="44"/>
    </row>
    <row r="509" s="42" customFormat="true" ht="22.5" hidden="false" customHeight="false" outlineLevel="0" collapsed="false">
      <c r="A509" s="64"/>
      <c r="B509" s="54"/>
      <c r="C509" s="31" t="s">
        <v>33</v>
      </c>
      <c r="D509" s="36"/>
      <c r="E509" s="36"/>
      <c r="F509" s="37" t="n">
        <f aca="false">F520</f>
        <v>19276.46435</v>
      </c>
      <c r="G509" s="37" t="n">
        <f aca="false">G520</f>
        <v>0</v>
      </c>
      <c r="H509" s="37" t="n">
        <f aca="false">H520</f>
        <v>0</v>
      </c>
      <c r="I509" s="37" t="n">
        <f aca="false">I520</f>
        <v>0</v>
      </c>
      <c r="J509" s="37" t="n">
        <v>0</v>
      </c>
      <c r="K509" s="37" t="n">
        <v>0</v>
      </c>
      <c r="L509" s="37" t="n">
        <v>0</v>
      </c>
      <c r="M509" s="37" t="n">
        <f aca="false">L509*104/100</f>
        <v>0</v>
      </c>
      <c r="N509" s="37" t="n">
        <v>0</v>
      </c>
      <c r="O509" s="33" t="n">
        <v>0</v>
      </c>
      <c r="P509" s="33" t="n">
        <f aca="false">P520</f>
        <v>19276.46435</v>
      </c>
      <c r="Q509" s="33" t="n">
        <v>0</v>
      </c>
      <c r="R509" s="37" t="n">
        <v>0</v>
      </c>
      <c r="T509" s="49"/>
      <c r="U509" s="49"/>
      <c r="V509" s="49"/>
      <c r="W509" s="44"/>
    </row>
    <row r="510" s="42" customFormat="true" ht="38.8" hidden="false" customHeight="true" outlineLevel="0" collapsed="false">
      <c r="A510" s="64"/>
      <c r="B510" s="54"/>
      <c r="C510" s="31" t="s">
        <v>34</v>
      </c>
      <c r="D510" s="36"/>
      <c r="E510" s="36"/>
      <c r="F510" s="37" t="n">
        <v>0</v>
      </c>
      <c r="G510" s="37" t="n">
        <v>0</v>
      </c>
      <c r="H510" s="37" t="n">
        <v>0</v>
      </c>
      <c r="I510" s="37" t="n">
        <v>0</v>
      </c>
      <c r="J510" s="37" t="n">
        <v>0</v>
      </c>
      <c r="K510" s="37" t="n">
        <v>0</v>
      </c>
      <c r="L510" s="37" t="n">
        <v>0</v>
      </c>
      <c r="M510" s="37" t="n">
        <f aca="false">L510*104/100</f>
        <v>0</v>
      </c>
      <c r="N510" s="37" t="n">
        <v>0</v>
      </c>
      <c r="O510" s="33" t="n">
        <v>0</v>
      </c>
      <c r="P510" s="33" t="n">
        <v>0</v>
      </c>
      <c r="Q510" s="33" t="n">
        <v>0</v>
      </c>
      <c r="R510" s="37" t="n">
        <v>0</v>
      </c>
      <c r="T510" s="49"/>
      <c r="U510" s="49"/>
      <c r="V510" s="49"/>
      <c r="W510" s="44"/>
    </row>
    <row r="511" s="42" customFormat="true" ht="26.85" hidden="false" customHeight="true" outlineLevel="0" collapsed="false">
      <c r="A511" s="64"/>
      <c r="B511" s="54"/>
      <c r="C511" s="31" t="s">
        <v>35</v>
      </c>
      <c r="D511" s="36"/>
      <c r="E511" s="36"/>
      <c r="F511" s="37" t="n">
        <v>0</v>
      </c>
      <c r="G511" s="37" t="n">
        <v>0</v>
      </c>
      <c r="H511" s="37" t="n">
        <v>0</v>
      </c>
      <c r="I511" s="37" t="n">
        <v>0</v>
      </c>
      <c r="J511" s="37" t="n">
        <v>0</v>
      </c>
      <c r="K511" s="37" t="n">
        <v>0</v>
      </c>
      <c r="L511" s="37" t="n">
        <v>0</v>
      </c>
      <c r="M511" s="37" t="n">
        <f aca="false">L511*104/100</f>
        <v>0</v>
      </c>
      <c r="N511" s="37" t="n">
        <v>0</v>
      </c>
      <c r="O511" s="33" t="n">
        <v>0</v>
      </c>
      <c r="P511" s="33" t="n">
        <v>0</v>
      </c>
      <c r="Q511" s="33" t="n">
        <v>0</v>
      </c>
      <c r="R511" s="37" t="n">
        <v>0</v>
      </c>
      <c r="T511" s="49"/>
      <c r="U511" s="49"/>
      <c r="V511" s="49"/>
      <c r="W511" s="44"/>
    </row>
    <row r="512" s="42" customFormat="true" ht="72.35" hidden="false" customHeight="true" outlineLevel="0" collapsed="false">
      <c r="A512" s="64"/>
      <c r="B512" s="54"/>
      <c r="C512" s="31" t="s">
        <v>36</v>
      </c>
      <c r="D512" s="36"/>
      <c r="E512" s="36"/>
      <c r="F512" s="37" t="n">
        <v>0</v>
      </c>
      <c r="G512" s="37" t="n">
        <v>0</v>
      </c>
      <c r="H512" s="37" t="n">
        <v>0</v>
      </c>
      <c r="I512" s="37" t="n">
        <v>0</v>
      </c>
      <c r="J512" s="37" t="n">
        <v>0</v>
      </c>
      <c r="K512" s="37" t="n">
        <v>0</v>
      </c>
      <c r="L512" s="37" t="n">
        <v>0</v>
      </c>
      <c r="M512" s="37" t="n">
        <f aca="false">L512*104/100</f>
        <v>0</v>
      </c>
      <c r="N512" s="37" t="n">
        <v>0</v>
      </c>
      <c r="O512" s="33" t="n">
        <v>0</v>
      </c>
      <c r="P512" s="33" t="n">
        <v>0</v>
      </c>
      <c r="Q512" s="33" t="n">
        <v>0</v>
      </c>
      <c r="R512" s="37" t="n">
        <v>0</v>
      </c>
      <c r="T512" s="49"/>
      <c r="U512" s="49"/>
      <c r="V512" s="49"/>
      <c r="W512" s="44"/>
    </row>
    <row r="513" s="42" customFormat="true" ht="64.15" hidden="false" customHeight="true" outlineLevel="0" collapsed="false">
      <c r="A513" s="64"/>
      <c r="B513" s="54"/>
      <c r="C513" s="31" t="s">
        <v>37</v>
      </c>
      <c r="D513" s="36"/>
      <c r="E513" s="36"/>
      <c r="F513" s="37" t="n">
        <f aca="false">SUM(G513:R513)</f>
        <v>0</v>
      </c>
      <c r="G513" s="37" t="n">
        <f aca="false">G524+G534+G543+G552</f>
        <v>0</v>
      </c>
      <c r="H513" s="37" t="n">
        <f aca="false">H524+H534+H543+H552</f>
        <v>0</v>
      </c>
      <c r="I513" s="37" t="n">
        <f aca="false">I524+I534+I543+I552</f>
        <v>0</v>
      </c>
      <c r="J513" s="37" t="n">
        <f aca="false">J524+J534+J543+J552</f>
        <v>0</v>
      </c>
      <c r="K513" s="37" t="n">
        <f aca="false">K524+K534+K543+K552</f>
        <v>0</v>
      </c>
      <c r="L513" s="37" t="n">
        <f aca="false">L524+L534+L543+L552</f>
        <v>0</v>
      </c>
      <c r="M513" s="37" t="n">
        <f aca="false">M524+M534+M543+M552</f>
        <v>0</v>
      </c>
      <c r="N513" s="37" t="n">
        <f aca="false">N524+N534+N543+N552</f>
        <v>0</v>
      </c>
      <c r="O513" s="37" t="n">
        <f aca="false">O524+O534+O543+O552</f>
        <v>0</v>
      </c>
      <c r="P513" s="37" t="n">
        <f aca="false">P524+P534+P543+P552</f>
        <v>0</v>
      </c>
      <c r="Q513" s="37" t="n">
        <f aca="false">Q524+Q534+Q543+Q552</f>
        <v>0</v>
      </c>
      <c r="R513" s="37" t="n">
        <f aca="false">R524+R534+R543+R552</f>
        <v>0</v>
      </c>
      <c r="T513" s="49"/>
      <c r="U513" s="49"/>
      <c r="V513" s="49"/>
      <c r="W513" s="44"/>
    </row>
    <row r="514" s="42" customFormat="true" ht="17.9" hidden="false" customHeight="true" outlineLevel="0" collapsed="false">
      <c r="A514" s="64" t="s">
        <v>190</v>
      </c>
      <c r="B514" s="54" t="s">
        <v>191</v>
      </c>
      <c r="C514" s="31" t="s">
        <v>30</v>
      </c>
      <c r="D514" s="36"/>
      <c r="E514" s="36" t="s">
        <v>188</v>
      </c>
      <c r="F514" s="37" t="n">
        <f aca="false">SUM(G514:R514)</f>
        <v>1534636.4403</v>
      </c>
      <c r="G514" s="37" t="n">
        <f aca="false">SUM(G515:G524)</f>
        <v>0</v>
      </c>
      <c r="H514" s="37" t="n">
        <f aca="false">SUM(H515:H524)</f>
        <v>0</v>
      </c>
      <c r="I514" s="37" t="n">
        <f aca="false">SUM(I515:I524)</f>
        <v>0</v>
      </c>
      <c r="J514" s="37" t="n">
        <f aca="false">SUM(J515:J524)</f>
        <v>0</v>
      </c>
      <c r="K514" s="37" t="n">
        <f aca="false">SUM(K515:K524)</f>
        <v>0</v>
      </c>
      <c r="L514" s="37" t="n">
        <f aca="false">SUM(L515:L524)</f>
        <v>0</v>
      </c>
      <c r="M514" s="37" t="n">
        <f aca="false">SUM(M515:M524)</f>
        <v>0</v>
      </c>
      <c r="N514" s="37" t="n">
        <f aca="false">SUM(N515:N524)</f>
        <v>234095.68615</v>
      </c>
      <c r="O514" s="37" t="n">
        <f aca="false">SUM(O515:O524)</f>
        <v>310753.3918</v>
      </c>
      <c r="P514" s="37" t="n">
        <f aca="false">SUM(P515:P524)</f>
        <v>389512.84435</v>
      </c>
      <c r="Q514" s="37" t="n">
        <f aca="false">SUM(Q515:Q524)</f>
        <v>300137.259</v>
      </c>
      <c r="R514" s="37" t="n">
        <f aca="false">SUM(R515:R524)</f>
        <v>300137.259</v>
      </c>
      <c r="T514" s="49"/>
      <c r="U514" s="49"/>
      <c r="V514" s="49"/>
      <c r="W514" s="44"/>
    </row>
    <row r="515" s="42" customFormat="true" ht="37.3" hidden="false" customHeight="true" outlineLevel="0" collapsed="false">
      <c r="A515" s="64"/>
      <c r="B515" s="54"/>
      <c r="C515" s="31" t="s">
        <v>31</v>
      </c>
      <c r="D515" s="36"/>
      <c r="E515" s="36"/>
      <c r="F515" s="37" t="n">
        <f aca="false">SUM(G515:R515)</f>
        <v>0</v>
      </c>
      <c r="G515" s="37" t="n">
        <v>0</v>
      </c>
      <c r="H515" s="37" t="n">
        <v>0</v>
      </c>
      <c r="I515" s="37" t="n">
        <v>0</v>
      </c>
      <c r="J515" s="37" t="n">
        <v>0</v>
      </c>
      <c r="K515" s="37" t="n">
        <v>0</v>
      </c>
      <c r="L515" s="37" t="n">
        <v>0</v>
      </c>
      <c r="M515" s="37" t="n">
        <v>0</v>
      </c>
      <c r="N515" s="37" t="n">
        <v>0</v>
      </c>
      <c r="O515" s="33" t="n">
        <v>0</v>
      </c>
      <c r="P515" s="33" t="n">
        <v>0</v>
      </c>
      <c r="Q515" s="33" t="n">
        <v>0</v>
      </c>
      <c r="R515" s="37" t="n">
        <v>0</v>
      </c>
      <c r="T515" s="49"/>
      <c r="U515" s="49"/>
      <c r="V515" s="49"/>
      <c r="W515" s="44"/>
    </row>
    <row r="516" s="42" customFormat="true" ht="22.5" hidden="false" customHeight="false" outlineLevel="0" collapsed="false">
      <c r="A516" s="64"/>
      <c r="B516" s="54"/>
      <c r="C516" s="31" t="s">
        <v>32</v>
      </c>
      <c r="D516" s="36" t="s">
        <v>42</v>
      </c>
      <c r="E516" s="36" t="s">
        <v>188</v>
      </c>
      <c r="F516" s="37" t="n">
        <f aca="false">SUM(G516:R516)</f>
        <v>1390873.93595</v>
      </c>
      <c r="G516" s="37" t="n">
        <v>0</v>
      </c>
      <c r="H516" s="37" t="n">
        <v>0</v>
      </c>
      <c r="I516" s="37" t="n">
        <v>0</v>
      </c>
      <c r="J516" s="37" t="n">
        <v>0</v>
      </c>
      <c r="K516" s="37" t="n">
        <v>0</v>
      </c>
      <c r="L516" s="37" t="n">
        <v>0</v>
      </c>
      <c r="M516" s="37" t="n">
        <v>0</v>
      </c>
      <c r="N516" s="37" t="n">
        <v>234095.68615</v>
      </c>
      <c r="O516" s="37" t="n">
        <v>286267.3518</v>
      </c>
      <c r="P516" s="37" t="n">
        <v>270236.38</v>
      </c>
      <c r="Q516" s="37" t="n">
        <v>300137.259</v>
      </c>
      <c r="R516" s="37" t="n">
        <v>300137.259</v>
      </c>
      <c r="T516" s="49"/>
      <c r="U516" s="49"/>
      <c r="V516" s="49"/>
      <c r="W516" s="44"/>
    </row>
    <row r="517" s="42" customFormat="true" ht="22.5" hidden="false" customHeight="false" outlineLevel="0" collapsed="false">
      <c r="A517" s="64"/>
      <c r="B517" s="54"/>
      <c r="C517" s="31" t="s">
        <v>32</v>
      </c>
      <c r="D517" s="36" t="s">
        <v>124</v>
      </c>
      <c r="E517" s="36" t="s">
        <v>188</v>
      </c>
      <c r="F517" s="37" t="n">
        <f aca="false">SUM(G517:R517)</f>
        <v>310.65</v>
      </c>
      <c r="G517" s="37" t="n">
        <v>0</v>
      </c>
      <c r="H517" s="37" t="n">
        <v>0</v>
      </c>
      <c r="I517" s="37" t="n">
        <v>0</v>
      </c>
      <c r="J517" s="37" t="n">
        <v>0</v>
      </c>
      <c r="K517" s="37" t="n">
        <v>0</v>
      </c>
      <c r="L517" s="37" t="n">
        <v>0</v>
      </c>
      <c r="M517" s="37" t="n">
        <v>0</v>
      </c>
      <c r="N517" s="37" t="n">
        <v>0</v>
      </c>
      <c r="O517" s="37" t="n">
        <v>310.65</v>
      </c>
      <c r="P517" s="37" t="n">
        <v>0</v>
      </c>
      <c r="Q517" s="37" t="n">
        <v>0</v>
      </c>
      <c r="R517" s="37" t="n">
        <f aca="false">Q517*1.04</f>
        <v>0</v>
      </c>
      <c r="T517" s="49"/>
      <c r="U517" s="49"/>
      <c r="V517" s="49"/>
      <c r="W517" s="44"/>
    </row>
    <row r="518" s="42" customFormat="true" ht="22.5" hidden="false" customHeight="false" outlineLevel="0" collapsed="false">
      <c r="A518" s="64"/>
      <c r="B518" s="54"/>
      <c r="C518" s="31" t="s">
        <v>32</v>
      </c>
      <c r="D518" s="36" t="s">
        <v>117</v>
      </c>
      <c r="E518" s="36" t="s">
        <v>188</v>
      </c>
      <c r="F518" s="37" t="n">
        <f aca="false">SUM(G518:R518)</f>
        <v>0</v>
      </c>
      <c r="G518" s="37" t="n">
        <v>0</v>
      </c>
      <c r="H518" s="37" t="n">
        <v>0</v>
      </c>
      <c r="I518" s="37" t="n">
        <v>0</v>
      </c>
      <c r="J518" s="37" t="n">
        <v>0</v>
      </c>
      <c r="K518" s="37" t="n">
        <v>0</v>
      </c>
      <c r="L518" s="37" t="n">
        <v>0</v>
      </c>
      <c r="M518" s="37" t="n">
        <v>0</v>
      </c>
      <c r="N518" s="37" t="n">
        <v>0</v>
      </c>
      <c r="O518" s="37" t="n">
        <v>0</v>
      </c>
      <c r="P518" s="37" t="n">
        <v>0</v>
      </c>
      <c r="Q518" s="37" t="n">
        <v>0</v>
      </c>
      <c r="R518" s="37" t="n">
        <f aca="false">Q518*1.04</f>
        <v>0</v>
      </c>
      <c r="T518" s="49"/>
      <c r="U518" s="49"/>
      <c r="V518" s="49"/>
      <c r="W518" s="44"/>
    </row>
    <row r="519" s="42" customFormat="true" ht="22.5" hidden="false" customHeight="false" outlineLevel="0" collapsed="false">
      <c r="A519" s="64"/>
      <c r="B519" s="54"/>
      <c r="C519" s="31" t="s">
        <v>32</v>
      </c>
      <c r="D519" s="36" t="s">
        <v>58</v>
      </c>
      <c r="E519" s="36" t="s">
        <v>188</v>
      </c>
      <c r="F519" s="37" t="n">
        <f aca="false">SUM(G519:R519)</f>
        <v>124175.39</v>
      </c>
      <c r="G519" s="37" t="n">
        <v>0</v>
      </c>
      <c r="H519" s="37" t="n">
        <v>0</v>
      </c>
      <c r="I519" s="37" t="n">
        <v>0</v>
      </c>
      <c r="J519" s="37" t="n">
        <v>0</v>
      </c>
      <c r="K519" s="37" t="n">
        <v>0</v>
      </c>
      <c r="L519" s="37" t="n">
        <v>0</v>
      </c>
      <c r="M519" s="37" t="n">
        <v>0</v>
      </c>
      <c r="N519" s="37" t="n">
        <v>0</v>
      </c>
      <c r="O519" s="37" t="n">
        <v>24175.39</v>
      </c>
      <c r="P519" s="37" t="n">
        <v>100000</v>
      </c>
      <c r="Q519" s="37" t="n">
        <v>0</v>
      </c>
      <c r="R519" s="37" t="n">
        <v>0</v>
      </c>
      <c r="T519" s="49"/>
      <c r="U519" s="49"/>
      <c r="V519" s="49"/>
      <c r="W519" s="44"/>
    </row>
    <row r="520" s="42" customFormat="true" ht="22.5" hidden="false" customHeight="false" outlineLevel="0" collapsed="false">
      <c r="A520" s="64"/>
      <c r="B520" s="54"/>
      <c r="C520" s="31" t="s">
        <v>33</v>
      </c>
      <c r="D520" s="36"/>
      <c r="E520" s="36"/>
      <c r="F520" s="37" t="n">
        <f aca="false">G520+H520+I520+J520+K520+L520+M520+N520+O520+P520+Q520+R520</f>
        <v>19276.46435</v>
      </c>
      <c r="G520" s="37" t="n">
        <v>0</v>
      </c>
      <c r="H520" s="37" t="n">
        <v>0</v>
      </c>
      <c r="I520" s="37" t="n">
        <v>0</v>
      </c>
      <c r="J520" s="37" t="n">
        <v>0</v>
      </c>
      <c r="K520" s="37" t="n">
        <v>0</v>
      </c>
      <c r="L520" s="37" t="n">
        <v>0</v>
      </c>
      <c r="M520" s="37" t="n">
        <f aca="false">L520*104/100</f>
        <v>0</v>
      </c>
      <c r="N520" s="37" t="n">
        <v>0</v>
      </c>
      <c r="O520" s="33" t="n">
        <v>0</v>
      </c>
      <c r="P520" s="33" t="n">
        <v>19276.46435</v>
      </c>
      <c r="Q520" s="33" t="n">
        <v>0</v>
      </c>
      <c r="R520" s="37" t="n">
        <v>0</v>
      </c>
      <c r="T520" s="49"/>
      <c r="U520" s="49"/>
      <c r="V520" s="49"/>
      <c r="W520" s="44"/>
    </row>
    <row r="521" s="42" customFormat="true" ht="36.55" hidden="false" customHeight="true" outlineLevel="0" collapsed="false">
      <c r="A521" s="64"/>
      <c r="B521" s="54"/>
      <c r="C521" s="31" t="s">
        <v>34</v>
      </c>
      <c r="D521" s="36"/>
      <c r="E521" s="36"/>
      <c r="F521" s="37" t="n">
        <v>0</v>
      </c>
      <c r="G521" s="37" t="n">
        <v>0</v>
      </c>
      <c r="H521" s="37" t="n">
        <v>0</v>
      </c>
      <c r="I521" s="37" t="n">
        <v>0</v>
      </c>
      <c r="J521" s="37" t="n">
        <v>0</v>
      </c>
      <c r="K521" s="37" t="n">
        <v>0</v>
      </c>
      <c r="L521" s="37" t="n">
        <v>0</v>
      </c>
      <c r="M521" s="37" t="n">
        <f aca="false">L521*104/100</f>
        <v>0</v>
      </c>
      <c r="N521" s="37" t="n">
        <v>0</v>
      </c>
      <c r="O521" s="33" t="n">
        <v>0</v>
      </c>
      <c r="P521" s="33" t="n">
        <v>0</v>
      </c>
      <c r="Q521" s="33" t="n">
        <v>0</v>
      </c>
      <c r="R521" s="37" t="n">
        <v>0</v>
      </c>
      <c r="T521" s="49"/>
      <c r="U521" s="49"/>
      <c r="V521" s="49"/>
      <c r="W521" s="44"/>
    </row>
    <row r="522" s="42" customFormat="true" ht="29.85" hidden="false" customHeight="true" outlineLevel="0" collapsed="false">
      <c r="A522" s="64"/>
      <c r="B522" s="54"/>
      <c r="C522" s="31" t="s">
        <v>35</v>
      </c>
      <c r="D522" s="36"/>
      <c r="E522" s="36"/>
      <c r="F522" s="37" t="n">
        <v>0</v>
      </c>
      <c r="G522" s="37" t="n">
        <v>0</v>
      </c>
      <c r="H522" s="37" t="n">
        <v>0</v>
      </c>
      <c r="I522" s="37" t="n">
        <v>0</v>
      </c>
      <c r="J522" s="37" t="n">
        <v>0</v>
      </c>
      <c r="K522" s="37" t="n">
        <v>0</v>
      </c>
      <c r="L522" s="37" t="n">
        <v>0</v>
      </c>
      <c r="M522" s="37" t="n">
        <f aca="false">L522*104/100</f>
        <v>0</v>
      </c>
      <c r="N522" s="37" t="n">
        <v>0</v>
      </c>
      <c r="O522" s="33" t="n">
        <v>0</v>
      </c>
      <c r="P522" s="33" t="n">
        <v>0</v>
      </c>
      <c r="Q522" s="33" t="n">
        <v>0</v>
      </c>
      <c r="R522" s="37" t="n">
        <v>0</v>
      </c>
      <c r="T522" s="49"/>
      <c r="U522" s="49"/>
      <c r="V522" s="49"/>
      <c r="W522" s="44"/>
    </row>
    <row r="523" s="42" customFormat="true" ht="70.1" hidden="false" customHeight="true" outlineLevel="0" collapsed="false">
      <c r="A523" s="64"/>
      <c r="B523" s="54"/>
      <c r="C523" s="31" t="s">
        <v>36</v>
      </c>
      <c r="D523" s="36"/>
      <c r="E523" s="36"/>
      <c r="F523" s="37" t="n">
        <v>0</v>
      </c>
      <c r="G523" s="37" t="n">
        <v>0</v>
      </c>
      <c r="H523" s="37" t="n">
        <v>0</v>
      </c>
      <c r="I523" s="37" t="n">
        <v>0</v>
      </c>
      <c r="J523" s="37" t="n">
        <v>0</v>
      </c>
      <c r="K523" s="37" t="n">
        <v>0</v>
      </c>
      <c r="L523" s="37" t="n">
        <v>0</v>
      </c>
      <c r="M523" s="37" t="n">
        <f aca="false">L523*104/100</f>
        <v>0</v>
      </c>
      <c r="N523" s="37" t="n">
        <v>0</v>
      </c>
      <c r="O523" s="33" t="n">
        <v>0</v>
      </c>
      <c r="P523" s="33" t="n">
        <v>0</v>
      </c>
      <c r="Q523" s="33" t="n">
        <v>0</v>
      </c>
      <c r="R523" s="37" t="n">
        <v>0</v>
      </c>
      <c r="T523" s="49"/>
      <c r="U523" s="49"/>
      <c r="V523" s="49"/>
      <c r="W523" s="44"/>
    </row>
    <row r="524" s="42" customFormat="true" ht="65.65" hidden="false" customHeight="true" outlineLevel="0" collapsed="false">
      <c r="A524" s="64"/>
      <c r="B524" s="54"/>
      <c r="C524" s="31" t="s">
        <v>37</v>
      </c>
      <c r="D524" s="36"/>
      <c r="E524" s="36"/>
      <c r="F524" s="37" t="n">
        <f aca="false">SUM(G524:R524)</f>
        <v>0</v>
      </c>
      <c r="G524" s="37" t="n">
        <v>0</v>
      </c>
      <c r="H524" s="37" t="n">
        <v>0</v>
      </c>
      <c r="I524" s="37" t="n">
        <v>0</v>
      </c>
      <c r="J524" s="37" t="n">
        <v>0</v>
      </c>
      <c r="K524" s="37" t="n">
        <v>0</v>
      </c>
      <c r="L524" s="37" t="n">
        <v>0</v>
      </c>
      <c r="M524" s="37" t="n">
        <f aca="false">L524*104/100</f>
        <v>0</v>
      </c>
      <c r="N524" s="37" t="n">
        <v>0</v>
      </c>
      <c r="O524" s="33" t="n">
        <v>0</v>
      </c>
      <c r="P524" s="33" t="n">
        <v>0</v>
      </c>
      <c r="Q524" s="33" t="n">
        <v>0</v>
      </c>
      <c r="R524" s="37" t="n">
        <v>0</v>
      </c>
      <c r="T524" s="49"/>
      <c r="U524" s="49"/>
      <c r="V524" s="49"/>
      <c r="W524" s="44"/>
    </row>
    <row r="525" s="42" customFormat="true" ht="19.4" hidden="false" customHeight="true" outlineLevel="0" collapsed="false">
      <c r="A525" s="64" t="s">
        <v>192</v>
      </c>
      <c r="B525" s="54" t="s">
        <v>193</v>
      </c>
      <c r="C525" s="31" t="s">
        <v>30</v>
      </c>
      <c r="D525" s="36"/>
      <c r="E525" s="36" t="s">
        <v>188</v>
      </c>
      <c r="F525" s="37" t="n">
        <f aca="false">SUM(G525:R525)</f>
        <v>477432.66154</v>
      </c>
      <c r="G525" s="37" t="n">
        <f aca="false">SUM(G526:G532)</f>
        <v>0</v>
      </c>
      <c r="H525" s="37" t="n">
        <f aca="false">SUM(H526:H532)</f>
        <v>0</v>
      </c>
      <c r="I525" s="37" t="n">
        <f aca="false">SUM(I526:I532)</f>
        <v>0</v>
      </c>
      <c r="J525" s="37" t="n">
        <f aca="false">SUM(J526:J532)</f>
        <v>0</v>
      </c>
      <c r="K525" s="37" t="n">
        <f aca="false">SUM(K526:K532)</f>
        <v>0</v>
      </c>
      <c r="L525" s="37" t="n">
        <f aca="false">SUM(L526:L532)</f>
        <v>0</v>
      </c>
      <c r="M525" s="37" t="n">
        <f aca="false">SUM(M526:M532)</f>
        <v>0</v>
      </c>
      <c r="N525" s="37" t="n">
        <f aca="false">SUM(N526:N534)</f>
        <v>89466.21764</v>
      </c>
      <c r="O525" s="37" t="n">
        <f aca="false">SUM(O526:O534)</f>
        <v>93738.5939</v>
      </c>
      <c r="P525" s="37" t="n">
        <f aca="false">SUM(P526:P534)</f>
        <v>98075.95</v>
      </c>
      <c r="Q525" s="37" t="n">
        <f aca="false">SUM(Q526:Q532)</f>
        <v>98075.95</v>
      </c>
      <c r="R525" s="37" t="n">
        <f aca="false">SUM(R526:R532)</f>
        <v>98075.95</v>
      </c>
      <c r="T525" s="49"/>
      <c r="U525" s="49"/>
      <c r="V525" s="49"/>
      <c r="W525" s="44"/>
    </row>
    <row r="526" s="42" customFormat="true" ht="38.8" hidden="false" customHeight="true" outlineLevel="0" collapsed="false">
      <c r="A526" s="64"/>
      <c r="B526" s="54"/>
      <c r="C526" s="31" t="s">
        <v>31</v>
      </c>
      <c r="D526" s="36"/>
      <c r="E526" s="36"/>
      <c r="F526" s="37" t="n">
        <v>0</v>
      </c>
      <c r="G526" s="37" t="n">
        <v>0</v>
      </c>
      <c r="H526" s="37" t="n">
        <v>0</v>
      </c>
      <c r="I526" s="37" t="n">
        <v>0</v>
      </c>
      <c r="J526" s="37" t="n">
        <v>0</v>
      </c>
      <c r="K526" s="37" t="n">
        <v>0</v>
      </c>
      <c r="L526" s="37" t="n">
        <v>0</v>
      </c>
      <c r="M526" s="37" t="n">
        <f aca="false">L526*104/100</f>
        <v>0</v>
      </c>
      <c r="N526" s="37" t="n">
        <v>0</v>
      </c>
      <c r="O526" s="33" t="n">
        <v>0</v>
      </c>
      <c r="P526" s="33" t="n">
        <v>0</v>
      </c>
      <c r="Q526" s="33" t="n">
        <v>0</v>
      </c>
      <c r="R526" s="37" t="n">
        <v>0</v>
      </c>
      <c r="T526" s="49"/>
      <c r="U526" s="49"/>
      <c r="V526" s="49"/>
      <c r="W526" s="44"/>
    </row>
    <row r="527" s="42" customFormat="true" ht="26.1" hidden="false" customHeight="true" outlineLevel="0" collapsed="false">
      <c r="A527" s="64"/>
      <c r="B527" s="54"/>
      <c r="C527" s="31" t="s">
        <v>32</v>
      </c>
      <c r="D527" s="36" t="s">
        <v>42</v>
      </c>
      <c r="E527" s="36" t="s">
        <v>188</v>
      </c>
      <c r="F527" s="37" t="n">
        <f aca="false">SUM(G527:R527)</f>
        <v>62308.5267</v>
      </c>
      <c r="G527" s="37" t="n">
        <v>0</v>
      </c>
      <c r="H527" s="37" t="n">
        <v>0</v>
      </c>
      <c r="I527" s="37" t="n">
        <v>0</v>
      </c>
      <c r="J527" s="37" t="n">
        <v>0</v>
      </c>
      <c r="K527" s="37" t="n">
        <v>0</v>
      </c>
      <c r="L527" s="37" t="n">
        <v>0</v>
      </c>
      <c r="M527" s="37" t="n">
        <v>0</v>
      </c>
      <c r="N527" s="37" t="n">
        <v>13712.2828</v>
      </c>
      <c r="O527" s="37" t="n">
        <v>11858.2439</v>
      </c>
      <c r="P527" s="37" t="n">
        <v>12246</v>
      </c>
      <c r="Q527" s="37" t="n">
        <v>12246</v>
      </c>
      <c r="R527" s="37" t="n">
        <v>12246</v>
      </c>
      <c r="T527" s="49"/>
      <c r="U527" s="49"/>
      <c r="V527" s="49"/>
      <c r="W527" s="44"/>
    </row>
    <row r="528" s="42" customFormat="true" ht="26.85" hidden="false" customHeight="true" outlineLevel="0" collapsed="false">
      <c r="A528" s="64"/>
      <c r="B528" s="54"/>
      <c r="C528" s="31" t="s">
        <v>32</v>
      </c>
      <c r="D528" s="36" t="s">
        <v>49</v>
      </c>
      <c r="E528" s="36" t="s">
        <v>188</v>
      </c>
      <c r="F528" s="37" t="n">
        <f aca="false">SUM(G528:R528)</f>
        <v>415124.13484</v>
      </c>
      <c r="G528" s="37" t="n">
        <v>0</v>
      </c>
      <c r="H528" s="37" t="n">
        <v>0</v>
      </c>
      <c r="I528" s="37" t="n">
        <v>0</v>
      </c>
      <c r="J528" s="37" t="n">
        <v>0</v>
      </c>
      <c r="K528" s="37" t="n">
        <v>0</v>
      </c>
      <c r="L528" s="37" t="n">
        <v>0</v>
      </c>
      <c r="M528" s="37" t="n">
        <v>0</v>
      </c>
      <c r="N528" s="37" t="n">
        <v>75753.93484</v>
      </c>
      <c r="O528" s="37" t="n">
        <v>81880.35</v>
      </c>
      <c r="P528" s="37" t="n">
        <v>85829.95</v>
      </c>
      <c r="Q528" s="37" t="n">
        <v>85829.95</v>
      </c>
      <c r="R528" s="37" t="n">
        <v>85829.95</v>
      </c>
      <c r="T528" s="49"/>
      <c r="U528" s="49"/>
      <c r="V528" s="49"/>
      <c r="W528" s="44"/>
    </row>
    <row r="529" s="42" customFormat="true" ht="25.35" hidden="false" customHeight="true" outlineLevel="0" collapsed="false">
      <c r="A529" s="64"/>
      <c r="B529" s="54"/>
      <c r="C529" s="31" t="s">
        <v>32</v>
      </c>
      <c r="D529" s="36" t="s">
        <v>124</v>
      </c>
      <c r="E529" s="36" t="s">
        <v>188</v>
      </c>
      <c r="F529" s="37" t="n">
        <f aca="false">SUM(G529:R529)</f>
        <v>0</v>
      </c>
      <c r="G529" s="37" t="n">
        <v>0</v>
      </c>
      <c r="H529" s="37" t="n">
        <v>0</v>
      </c>
      <c r="I529" s="37" t="n">
        <v>0</v>
      </c>
      <c r="J529" s="37" t="n">
        <v>0</v>
      </c>
      <c r="K529" s="37" t="n">
        <v>0</v>
      </c>
      <c r="L529" s="37" t="n">
        <v>0</v>
      </c>
      <c r="M529" s="37" t="n">
        <v>0</v>
      </c>
      <c r="N529" s="37" t="n">
        <v>0</v>
      </c>
      <c r="O529" s="37" t="n">
        <v>0</v>
      </c>
      <c r="P529" s="37" t="n">
        <v>0</v>
      </c>
      <c r="Q529" s="37" t="n">
        <v>0</v>
      </c>
      <c r="R529" s="37" t="n">
        <v>0</v>
      </c>
      <c r="T529" s="49"/>
      <c r="U529" s="49"/>
      <c r="V529" s="49"/>
      <c r="W529" s="44"/>
    </row>
    <row r="530" s="42" customFormat="true" ht="26.85" hidden="false" customHeight="true" outlineLevel="0" collapsed="false">
      <c r="A530" s="64"/>
      <c r="B530" s="54"/>
      <c r="C530" s="31" t="s">
        <v>33</v>
      </c>
      <c r="D530" s="36"/>
      <c r="E530" s="36"/>
      <c r="F530" s="37" t="n">
        <v>0</v>
      </c>
      <c r="G530" s="37" t="n">
        <v>0</v>
      </c>
      <c r="H530" s="37" t="n">
        <v>0</v>
      </c>
      <c r="I530" s="37" t="n">
        <v>0</v>
      </c>
      <c r="J530" s="37" t="n">
        <v>0</v>
      </c>
      <c r="K530" s="37" t="n">
        <v>0</v>
      </c>
      <c r="L530" s="37" t="n">
        <v>0</v>
      </c>
      <c r="M530" s="37" t="n">
        <f aca="false">L530*104/100</f>
        <v>0</v>
      </c>
      <c r="N530" s="37" t="n">
        <v>0</v>
      </c>
      <c r="O530" s="33" t="n">
        <v>0</v>
      </c>
      <c r="P530" s="33" t="n">
        <v>0</v>
      </c>
      <c r="Q530" s="33" t="n">
        <v>0</v>
      </c>
      <c r="R530" s="37" t="n">
        <v>0</v>
      </c>
      <c r="T530" s="49"/>
      <c r="U530" s="49"/>
      <c r="V530" s="49"/>
      <c r="W530" s="44"/>
    </row>
    <row r="531" s="42" customFormat="true" ht="38.05" hidden="false" customHeight="true" outlineLevel="0" collapsed="false">
      <c r="A531" s="64"/>
      <c r="B531" s="54"/>
      <c r="C531" s="31" t="s">
        <v>34</v>
      </c>
      <c r="D531" s="36"/>
      <c r="E531" s="36"/>
      <c r="F531" s="37" t="n">
        <v>0</v>
      </c>
      <c r="G531" s="37" t="n">
        <v>0</v>
      </c>
      <c r="H531" s="37" t="n">
        <v>0</v>
      </c>
      <c r="I531" s="37" t="n">
        <v>0</v>
      </c>
      <c r="J531" s="37" t="n">
        <v>0</v>
      </c>
      <c r="K531" s="37" t="n">
        <v>0</v>
      </c>
      <c r="L531" s="37" t="n">
        <v>0</v>
      </c>
      <c r="M531" s="37" t="n">
        <f aca="false">L531*104/100</f>
        <v>0</v>
      </c>
      <c r="N531" s="37" t="n">
        <v>0</v>
      </c>
      <c r="O531" s="33" t="n">
        <v>0</v>
      </c>
      <c r="P531" s="33" t="n">
        <v>0</v>
      </c>
      <c r="Q531" s="33" t="n">
        <v>0</v>
      </c>
      <c r="R531" s="37" t="n">
        <v>0</v>
      </c>
      <c r="T531" s="49"/>
      <c r="U531" s="49"/>
      <c r="V531" s="49"/>
      <c r="W531" s="44"/>
    </row>
    <row r="532" s="42" customFormat="true" ht="29.85" hidden="false" customHeight="true" outlineLevel="0" collapsed="false">
      <c r="A532" s="64"/>
      <c r="B532" s="54"/>
      <c r="C532" s="31" t="s">
        <v>35</v>
      </c>
      <c r="D532" s="36"/>
      <c r="E532" s="36"/>
      <c r="F532" s="37" t="n">
        <v>0</v>
      </c>
      <c r="G532" s="37" t="n">
        <v>0</v>
      </c>
      <c r="H532" s="37" t="n">
        <v>0</v>
      </c>
      <c r="I532" s="37" t="n">
        <v>0</v>
      </c>
      <c r="J532" s="37" t="n">
        <v>0</v>
      </c>
      <c r="K532" s="37" t="n">
        <v>0</v>
      </c>
      <c r="L532" s="37" t="n">
        <v>0</v>
      </c>
      <c r="M532" s="37" t="n">
        <f aca="false">L532*104/100</f>
        <v>0</v>
      </c>
      <c r="N532" s="37" t="n">
        <v>0</v>
      </c>
      <c r="O532" s="33" t="n">
        <v>0</v>
      </c>
      <c r="P532" s="33" t="n">
        <v>0</v>
      </c>
      <c r="Q532" s="33" t="n">
        <v>0</v>
      </c>
      <c r="R532" s="37" t="n">
        <v>0</v>
      </c>
      <c r="T532" s="49"/>
      <c r="U532" s="49"/>
      <c r="V532" s="49"/>
      <c r="W532" s="44"/>
    </row>
    <row r="533" s="42" customFormat="true" ht="73.1" hidden="false" customHeight="true" outlineLevel="0" collapsed="false">
      <c r="A533" s="76"/>
      <c r="B533" s="57"/>
      <c r="C533" s="31" t="s">
        <v>36</v>
      </c>
      <c r="D533" s="36"/>
      <c r="E533" s="34"/>
      <c r="F533" s="37" t="n">
        <v>0</v>
      </c>
      <c r="G533" s="37" t="n">
        <v>0</v>
      </c>
      <c r="H533" s="37" t="n">
        <v>0</v>
      </c>
      <c r="I533" s="37" t="n">
        <v>0</v>
      </c>
      <c r="J533" s="37" t="n">
        <v>0</v>
      </c>
      <c r="K533" s="37" t="n">
        <v>0</v>
      </c>
      <c r="L533" s="37" t="n">
        <v>0</v>
      </c>
      <c r="M533" s="37" t="n">
        <f aca="false">L533*104/100</f>
        <v>0</v>
      </c>
      <c r="N533" s="37" t="n">
        <v>0</v>
      </c>
      <c r="O533" s="33" t="n">
        <v>0</v>
      </c>
      <c r="P533" s="33" t="n">
        <v>0</v>
      </c>
      <c r="Q533" s="33" t="n">
        <v>0</v>
      </c>
      <c r="R533" s="37" t="n">
        <v>0</v>
      </c>
      <c r="T533" s="49"/>
      <c r="U533" s="49"/>
      <c r="V533" s="49"/>
      <c r="W533" s="44"/>
    </row>
    <row r="534" s="42" customFormat="true" ht="64.15" hidden="false" customHeight="true" outlineLevel="0" collapsed="false">
      <c r="A534" s="77"/>
      <c r="B534" s="61"/>
      <c r="C534" s="31" t="s">
        <v>37</v>
      </c>
      <c r="D534" s="36"/>
      <c r="E534" s="34"/>
      <c r="F534" s="37" t="n">
        <f aca="false">SUM(G534:R534)</f>
        <v>0</v>
      </c>
      <c r="G534" s="37" t="n">
        <v>0</v>
      </c>
      <c r="H534" s="37" t="n">
        <v>0</v>
      </c>
      <c r="I534" s="37" t="n">
        <v>0</v>
      </c>
      <c r="J534" s="37" t="n">
        <v>0</v>
      </c>
      <c r="K534" s="37" t="n">
        <v>0</v>
      </c>
      <c r="L534" s="37" t="n">
        <v>0</v>
      </c>
      <c r="M534" s="37" t="n">
        <f aca="false">L534*104/100</f>
        <v>0</v>
      </c>
      <c r="N534" s="37" t="n">
        <v>0</v>
      </c>
      <c r="O534" s="33" t="n">
        <v>0</v>
      </c>
      <c r="P534" s="33" t="n">
        <v>0</v>
      </c>
      <c r="Q534" s="33" t="n">
        <v>0</v>
      </c>
      <c r="R534" s="37" t="n">
        <v>0</v>
      </c>
      <c r="T534" s="49"/>
      <c r="U534" s="49"/>
      <c r="V534" s="49"/>
      <c r="W534" s="44"/>
    </row>
    <row r="535" s="42" customFormat="true" ht="20.1" hidden="false" customHeight="true" outlineLevel="0" collapsed="false">
      <c r="A535" s="64" t="s">
        <v>194</v>
      </c>
      <c r="B535" s="54" t="s">
        <v>195</v>
      </c>
      <c r="C535" s="31" t="s">
        <v>30</v>
      </c>
      <c r="D535" s="36"/>
      <c r="E535" s="36" t="s">
        <v>188</v>
      </c>
      <c r="F535" s="37" t="n">
        <f aca="false">SUM(G535:R535)</f>
        <v>988.54295</v>
      </c>
      <c r="G535" s="37" t="n">
        <f aca="false">SUM(G536:G541)</f>
        <v>0</v>
      </c>
      <c r="H535" s="37" t="n">
        <f aca="false">SUM(H536:H541)</f>
        <v>0</v>
      </c>
      <c r="I535" s="37" t="n">
        <f aca="false">SUM(I536:I541)</f>
        <v>0</v>
      </c>
      <c r="J535" s="37" t="n">
        <f aca="false">SUM(J536:J541)</f>
        <v>0</v>
      </c>
      <c r="K535" s="37" t="n">
        <f aca="false">SUM(K536:K541)</f>
        <v>0</v>
      </c>
      <c r="L535" s="37" t="n">
        <f aca="false">SUM(L536:L541)</f>
        <v>0</v>
      </c>
      <c r="M535" s="37" t="n">
        <f aca="false">SUM(M536:M541)</f>
        <v>0</v>
      </c>
      <c r="N535" s="37" t="n">
        <f aca="false">SUM(N536:N543)</f>
        <v>149.92981</v>
      </c>
      <c r="O535" s="37" t="n">
        <f aca="false">SUM(O536:O543)</f>
        <v>155.36314</v>
      </c>
      <c r="P535" s="37" t="n">
        <f aca="false">SUM(P536:P543)</f>
        <v>227.75</v>
      </c>
      <c r="Q535" s="37" t="n">
        <f aca="false">SUM(Q536:Q541)</f>
        <v>227.75</v>
      </c>
      <c r="R535" s="37" t="n">
        <f aca="false">SUM(R536:R541)</f>
        <v>227.75</v>
      </c>
      <c r="T535" s="49"/>
      <c r="U535" s="49"/>
      <c r="V535" s="49"/>
      <c r="W535" s="44"/>
    </row>
    <row r="536" s="42" customFormat="true" ht="38.05" hidden="false" customHeight="true" outlineLevel="0" collapsed="false">
      <c r="A536" s="64"/>
      <c r="B536" s="54"/>
      <c r="C536" s="31" t="s">
        <v>31</v>
      </c>
      <c r="D536" s="36"/>
      <c r="E536" s="36"/>
      <c r="F536" s="37" t="n">
        <v>0</v>
      </c>
      <c r="G536" s="37" t="n">
        <v>0</v>
      </c>
      <c r="H536" s="37" t="n">
        <v>0</v>
      </c>
      <c r="I536" s="37" t="n">
        <v>0</v>
      </c>
      <c r="J536" s="37" t="n">
        <v>0</v>
      </c>
      <c r="K536" s="37" t="n">
        <v>0</v>
      </c>
      <c r="L536" s="37" t="n">
        <v>0</v>
      </c>
      <c r="M536" s="37" t="n">
        <f aca="false">L536*104/100</f>
        <v>0</v>
      </c>
      <c r="N536" s="37" t="n">
        <v>0</v>
      </c>
      <c r="O536" s="33" t="n">
        <v>0</v>
      </c>
      <c r="P536" s="33" t="n">
        <v>0</v>
      </c>
      <c r="Q536" s="33" t="n">
        <v>0</v>
      </c>
      <c r="R536" s="37" t="n">
        <v>0</v>
      </c>
      <c r="T536" s="49"/>
      <c r="U536" s="49"/>
      <c r="V536" s="49"/>
      <c r="W536" s="44"/>
    </row>
    <row r="537" s="42" customFormat="true" ht="28.35" hidden="false" customHeight="true" outlineLevel="0" collapsed="false">
      <c r="A537" s="64"/>
      <c r="B537" s="54"/>
      <c r="C537" s="31" t="s">
        <v>32</v>
      </c>
      <c r="D537" s="36" t="s">
        <v>49</v>
      </c>
      <c r="E537" s="36" t="s">
        <v>188</v>
      </c>
      <c r="F537" s="37" t="n">
        <f aca="false">SUM(G537:R537)</f>
        <v>988.54295</v>
      </c>
      <c r="G537" s="37" t="n">
        <v>0</v>
      </c>
      <c r="H537" s="37" t="n">
        <v>0</v>
      </c>
      <c r="I537" s="37" t="n">
        <v>0</v>
      </c>
      <c r="J537" s="37" t="n">
        <v>0</v>
      </c>
      <c r="K537" s="37" t="n">
        <v>0</v>
      </c>
      <c r="L537" s="37" t="n">
        <v>0</v>
      </c>
      <c r="M537" s="37" t="n">
        <v>0</v>
      </c>
      <c r="N537" s="37" t="n">
        <v>149.92981</v>
      </c>
      <c r="O537" s="37" t="n">
        <v>155.36314</v>
      </c>
      <c r="P537" s="37" t="n">
        <v>227.75</v>
      </c>
      <c r="Q537" s="37" t="n">
        <v>227.75</v>
      </c>
      <c r="R537" s="37" t="n">
        <v>227.75</v>
      </c>
      <c r="T537" s="49"/>
      <c r="U537" s="49"/>
      <c r="V537" s="49"/>
      <c r="W537" s="44"/>
    </row>
    <row r="538" s="42" customFormat="true" ht="27.6" hidden="false" customHeight="true" outlineLevel="0" collapsed="false">
      <c r="A538" s="64"/>
      <c r="B538" s="54"/>
      <c r="C538" s="31" t="s">
        <v>32</v>
      </c>
      <c r="D538" s="36" t="s">
        <v>124</v>
      </c>
      <c r="E538" s="36" t="s">
        <v>188</v>
      </c>
      <c r="F538" s="37" t="n">
        <f aca="false">SUM(G538:R538)</f>
        <v>0</v>
      </c>
      <c r="G538" s="37" t="n">
        <v>0</v>
      </c>
      <c r="H538" s="37" t="n">
        <v>0</v>
      </c>
      <c r="I538" s="37" t="n">
        <v>0</v>
      </c>
      <c r="J538" s="37" t="n">
        <v>0</v>
      </c>
      <c r="K538" s="37" t="n">
        <v>0</v>
      </c>
      <c r="L538" s="37" t="n">
        <v>0</v>
      </c>
      <c r="M538" s="37" t="n">
        <v>0</v>
      </c>
      <c r="N538" s="37" t="n">
        <v>0</v>
      </c>
      <c r="O538" s="37" t="n">
        <v>0</v>
      </c>
      <c r="P538" s="37" t="n">
        <v>0</v>
      </c>
      <c r="Q538" s="37" t="n">
        <v>0</v>
      </c>
      <c r="R538" s="37" t="n">
        <v>0</v>
      </c>
      <c r="T538" s="49"/>
      <c r="U538" s="49"/>
      <c r="V538" s="49"/>
      <c r="W538" s="44"/>
    </row>
    <row r="539" s="42" customFormat="true" ht="30.55" hidden="false" customHeight="true" outlineLevel="0" collapsed="false">
      <c r="A539" s="64"/>
      <c r="B539" s="54"/>
      <c r="C539" s="31" t="s">
        <v>33</v>
      </c>
      <c r="D539" s="36"/>
      <c r="E539" s="36"/>
      <c r="F539" s="37" t="n">
        <v>0</v>
      </c>
      <c r="G539" s="37" t="n">
        <v>0</v>
      </c>
      <c r="H539" s="37" t="n">
        <v>0</v>
      </c>
      <c r="I539" s="37" t="n">
        <v>0</v>
      </c>
      <c r="J539" s="37" t="n">
        <v>0</v>
      </c>
      <c r="K539" s="37" t="n">
        <v>0</v>
      </c>
      <c r="L539" s="37" t="n">
        <v>0</v>
      </c>
      <c r="M539" s="37" t="n">
        <f aca="false">L539*104/100</f>
        <v>0</v>
      </c>
      <c r="N539" s="37" t="n">
        <v>0</v>
      </c>
      <c r="O539" s="33" t="n">
        <v>0</v>
      </c>
      <c r="P539" s="33" t="n">
        <v>0</v>
      </c>
      <c r="Q539" s="33" t="n">
        <v>0</v>
      </c>
      <c r="R539" s="37" t="n">
        <v>0</v>
      </c>
      <c r="T539" s="49"/>
      <c r="U539" s="49"/>
      <c r="V539" s="49"/>
      <c r="W539" s="44"/>
    </row>
    <row r="540" s="42" customFormat="true" ht="39.55" hidden="false" customHeight="true" outlineLevel="0" collapsed="false">
      <c r="A540" s="64"/>
      <c r="B540" s="54"/>
      <c r="C540" s="31" t="s">
        <v>34</v>
      </c>
      <c r="D540" s="36"/>
      <c r="E540" s="36"/>
      <c r="F540" s="37" t="n">
        <v>0</v>
      </c>
      <c r="G540" s="37" t="n">
        <v>0</v>
      </c>
      <c r="H540" s="37" t="n">
        <v>0</v>
      </c>
      <c r="I540" s="37" t="n">
        <v>0</v>
      </c>
      <c r="J540" s="37" t="n">
        <v>0</v>
      </c>
      <c r="K540" s="37" t="n">
        <v>0</v>
      </c>
      <c r="L540" s="37" t="n">
        <v>0</v>
      </c>
      <c r="M540" s="37" t="n">
        <f aca="false">L540*104/100</f>
        <v>0</v>
      </c>
      <c r="N540" s="37" t="n">
        <v>0</v>
      </c>
      <c r="O540" s="33" t="n">
        <v>0</v>
      </c>
      <c r="P540" s="33" t="n">
        <v>0</v>
      </c>
      <c r="Q540" s="33" t="n">
        <v>0</v>
      </c>
      <c r="R540" s="37" t="n">
        <v>0</v>
      </c>
      <c r="T540" s="49"/>
      <c r="U540" s="49"/>
      <c r="V540" s="49"/>
      <c r="W540" s="44"/>
    </row>
    <row r="541" s="42" customFormat="true" ht="29.1" hidden="false" customHeight="true" outlineLevel="0" collapsed="false">
      <c r="A541" s="64"/>
      <c r="B541" s="54"/>
      <c r="C541" s="31" t="s">
        <v>35</v>
      </c>
      <c r="D541" s="36"/>
      <c r="E541" s="36"/>
      <c r="F541" s="37" t="n">
        <v>0</v>
      </c>
      <c r="G541" s="37" t="n">
        <v>0</v>
      </c>
      <c r="H541" s="37" t="n">
        <v>0</v>
      </c>
      <c r="I541" s="37" t="n">
        <v>0</v>
      </c>
      <c r="J541" s="37" t="n">
        <v>0</v>
      </c>
      <c r="K541" s="37" t="n">
        <v>0</v>
      </c>
      <c r="L541" s="37" t="n">
        <v>0</v>
      </c>
      <c r="M541" s="37" t="n">
        <f aca="false">L541*104/100</f>
        <v>0</v>
      </c>
      <c r="N541" s="37" t="n">
        <v>0</v>
      </c>
      <c r="O541" s="33" t="n">
        <v>0</v>
      </c>
      <c r="P541" s="33" t="n">
        <v>0</v>
      </c>
      <c r="Q541" s="33" t="n">
        <v>0</v>
      </c>
      <c r="R541" s="37" t="n">
        <v>0</v>
      </c>
      <c r="T541" s="49"/>
      <c r="U541" s="49"/>
      <c r="V541" s="49"/>
      <c r="W541" s="44"/>
    </row>
    <row r="542" s="42" customFormat="true" ht="73.85" hidden="false" customHeight="true" outlineLevel="0" collapsed="false">
      <c r="A542" s="64"/>
      <c r="B542" s="54"/>
      <c r="C542" s="31" t="s">
        <v>36</v>
      </c>
      <c r="D542" s="36"/>
      <c r="E542" s="34"/>
      <c r="F542" s="37" t="n">
        <v>0</v>
      </c>
      <c r="G542" s="37" t="n">
        <v>0</v>
      </c>
      <c r="H542" s="37" t="n">
        <v>0</v>
      </c>
      <c r="I542" s="37" t="n">
        <v>0</v>
      </c>
      <c r="J542" s="37" t="n">
        <v>0</v>
      </c>
      <c r="K542" s="37" t="n">
        <v>0</v>
      </c>
      <c r="L542" s="37" t="n">
        <v>0</v>
      </c>
      <c r="M542" s="37" t="n">
        <f aca="false">L542*104/100</f>
        <v>0</v>
      </c>
      <c r="N542" s="37" t="n">
        <v>0</v>
      </c>
      <c r="O542" s="33" t="n">
        <v>0</v>
      </c>
      <c r="P542" s="33" t="n">
        <v>0</v>
      </c>
      <c r="Q542" s="33" t="n">
        <v>0</v>
      </c>
      <c r="R542" s="37" t="n">
        <v>0</v>
      </c>
      <c r="T542" s="49"/>
      <c r="U542" s="49"/>
      <c r="V542" s="49"/>
      <c r="W542" s="44"/>
    </row>
    <row r="543" s="42" customFormat="true" ht="64.15" hidden="false" customHeight="true" outlineLevel="0" collapsed="false">
      <c r="A543" s="64"/>
      <c r="B543" s="54"/>
      <c r="C543" s="31" t="s">
        <v>37</v>
      </c>
      <c r="D543" s="36"/>
      <c r="E543" s="34"/>
      <c r="F543" s="37" t="n">
        <f aca="false">SUM(G543:R543)</f>
        <v>0</v>
      </c>
      <c r="G543" s="37" t="n">
        <v>0</v>
      </c>
      <c r="H543" s="37" t="n">
        <v>0</v>
      </c>
      <c r="I543" s="37" t="n">
        <v>0</v>
      </c>
      <c r="J543" s="37" t="n">
        <v>0</v>
      </c>
      <c r="K543" s="37" t="n">
        <v>0</v>
      </c>
      <c r="L543" s="37" t="n">
        <v>0</v>
      </c>
      <c r="M543" s="37" t="n">
        <f aca="false">L543*104/100</f>
        <v>0</v>
      </c>
      <c r="N543" s="37" t="n">
        <v>0</v>
      </c>
      <c r="O543" s="33" t="n">
        <v>0</v>
      </c>
      <c r="P543" s="33" t="n">
        <v>0</v>
      </c>
      <c r="Q543" s="33" t="n">
        <v>0</v>
      </c>
      <c r="R543" s="37" t="n">
        <v>0</v>
      </c>
      <c r="T543" s="49"/>
      <c r="U543" s="49"/>
      <c r="V543" s="49"/>
      <c r="W543" s="44"/>
    </row>
    <row r="544" s="42" customFormat="true" ht="19.4" hidden="false" customHeight="true" outlineLevel="0" collapsed="false">
      <c r="A544" s="64" t="s">
        <v>196</v>
      </c>
      <c r="B544" s="54" t="s">
        <v>197</v>
      </c>
      <c r="C544" s="31" t="s">
        <v>30</v>
      </c>
      <c r="D544" s="36"/>
      <c r="E544" s="36" t="s">
        <v>188</v>
      </c>
      <c r="F544" s="37" t="n">
        <f aca="false">SUM(G544:R544)</f>
        <v>492.0294</v>
      </c>
      <c r="G544" s="37" t="n">
        <f aca="false">SUM(G545:G550)</f>
        <v>0</v>
      </c>
      <c r="H544" s="37" t="n">
        <f aca="false">SUM(H545:H550)</f>
        <v>0</v>
      </c>
      <c r="I544" s="37" t="n">
        <f aca="false">SUM(I545:I550)</f>
        <v>0</v>
      </c>
      <c r="J544" s="37" t="n">
        <f aca="false">SUM(J545:J550)</f>
        <v>0</v>
      </c>
      <c r="K544" s="37" t="n">
        <f aca="false">SUM(K545:K550)</f>
        <v>0</v>
      </c>
      <c r="L544" s="37" t="n">
        <f aca="false">SUM(L545:L550)</f>
        <v>0</v>
      </c>
      <c r="M544" s="37" t="n">
        <f aca="false">SUM(M545:M550)</f>
        <v>0</v>
      </c>
      <c r="N544" s="37" t="n">
        <f aca="false">SUM(N545:N552)</f>
        <v>45.03965</v>
      </c>
      <c r="O544" s="37" t="n">
        <f aca="false">SUM(O545:O552)</f>
        <v>166.98975</v>
      </c>
      <c r="P544" s="37" t="n">
        <f aca="false">SUM(P545:P552)</f>
        <v>0</v>
      </c>
      <c r="Q544" s="37" t="n">
        <f aca="false">SUM(Q545:Q550)</f>
        <v>140</v>
      </c>
      <c r="R544" s="37" t="n">
        <f aca="false">SUM(R545:R550)</f>
        <v>140</v>
      </c>
      <c r="T544" s="49"/>
      <c r="U544" s="49"/>
      <c r="V544" s="49"/>
      <c r="W544" s="44"/>
    </row>
    <row r="545" s="42" customFormat="true" ht="41.75" hidden="false" customHeight="true" outlineLevel="0" collapsed="false">
      <c r="A545" s="64"/>
      <c r="B545" s="54"/>
      <c r="C545" s="31" t="s">
        <v>31</v>
      </c>
      <c r="D545" s="36"/>
      <c r="E545" s="36"/>
      <c r="F545" s="37" t="n">
        <v>0</v>
      </c>
      <c r="G545" s="37" t="n">
        <v>0</v>
      </c>
      <c r="H545" s="37" t="n">
        <v>0</v>
      </c>
      <c r="I545" s="37" t="n">
        <v>0</v>
      </c>
      <c r="J545" s="37" t="n">
        <v>0</v>
      </c>
      <c r="K545" s="37" t="n">
        <v>0</v>
      </c>
      <c r="L545" s="37" t="n">
        <v>0</v>
      </c>
      <c r="M545" s="37" t="n">
        <f aca="false">L545*104/100</f>
        <v>0</v>
      </c>
      <c r="N545" s="37" t="n">
        <v>0</v>
      </c>
      <c r="O545" s="33" t="n">
        <v>0</v>
      </c>
      <c r="P545" s="33" t="n">
        <v>0</v>
      </c>
      <c r="Q545" s="33" t="n">
        <v>0</v>
      </c>
      <c r="R545" s="37" t="n">
        <v>0</v>
      </c>
      <c r="T545" s="49"/>
      <c r="U545" s="49"/>
      <c r="V545" s="49"/>
      <c r="W545" s="44"/>
    </row>
    <row r="546" s="42" customFormat="true" ht="26.85" hidden="false" customHeight="true" outlineLevel="0" collapsed="false">
      <c r="A546" s="64"/>
      <c r="B546" s="54"/>
      <c r="C546" s="31" t="s">
        <v>32</v>
      </c>
      <c r="D546" s="36" t="s">
        <v>124</v>
      </c>
      <c r="E546" s="36" t="s">
        <v>188</v>
      </c>
      <c r="F546" s="37" t="n">
        <f aca="false">SUM(G546:R546)</f>
        <v>0</v>
      </c>
      <c r="G546" s="37" t="n">
        <v>0</v>
      </c>
      <c r="H546" s="37" t="n">
        <v>0</v>
      </c>
      <c r="I546" s="37" t="n">
        <v>0</v>
      </c>
      <c r="J546" s="37" t="n">
        <v>0</v>
      </c>
      <c r="K546" s="37" t="n">
        <v>0</v>
      </c>
      <c r="L546" s="37" t="n">
        <v>0</v>
      </c>
      <c r="M546" s="37" t="n">
        <v>0</v>
      </c>
      <c r="N546" s="37" t="n">
        <v>0</v>
      </c>
      <c r="O546" s="37" t="n">
        <v>0</v>
      </c>
      <c r="P546" s="37" t="n">
        <v>0</v>
      </c>
      <c r="Q546" s="37" t="n">
        <v>0</v>
      </c>
      <c r="R546" s="37" t="n">
        <v>0</v>
      </c>
      <c r="T546" s="49"/>
      <c r="U546" s="49"/>
      <c r="V546" s="49"/>
      <c r="W546" s="44"/>
    </row>
    <row r="547" s="42" customFormat="true" ht="28.35" hidden="false" customHeight="true" outlineLevel="0" collapsed="false">
      <c r="A547" s="64"/>
      <c r="B547" s="54"/>
      <c r="C547" s="31" t="s">
        <v>32</v>
      </c>
      <c r="D547" s="36" t="s">
        <v>42</v>
      </c>
      <c r="E547" s="36" t="s">
        <v>188</v>
      </c>
      <c r="F547" s="37" t="n">
        <f aca="false">SUM(G547:R547)</f>
        <v>492.0294</v>
      </c>
      <c r="G547" s="37" t="n">
        <v>0</v>
      </c>
      <c r="H547" s="37" t="n">
        <v>0</v>
      </c>
      <c r="I547" s="37" t="n">
        <v>0</v>
      </c>
      <c r="J547" s="37" t="n">
        <v>0</v>
      </c>
      <c r="K547" s="37" t="n">
        <v>0</v>
      </c>
      <c r="L547" s="37" t="n">
        <v>0</v>
      </c>
      <c r="M547" s="37" t="n">
        <v>0</v>
      </c>
      <c r="N547" s="37" t="n">
        <v>45.03965</v>
      </c>
      <c r="O547" s="37" t="n">
        <v>166.98975</v>
      </c>
      <c r="P547" s="37" t="n">
        <v>0</v>
      </c>
      <c r="Q547" s="37" t="n">
        <v>140</v>
      </c>
      <c r="R547" s="37" t="n">
        <v>140</v>
      </c>
      <c r="T547" s="49"/>
      <c r="U547" s="49"/>
      <c r="V547" s="49"/>
      <c r="W547" s="44"/>
    </row>
    <row r="548" s="42" customFormat="true" ht="25.35" hidden="false" customHeight="true" outlineLevel="0" collapsed="false">
      <c r="A548" s="64"/>
      <c r="B548" s="54"/>
      <c r="C548" s="31" t="s">
        <v>33</v>
      </c>
      <c r="D548" s="36"/>
      <c r="E548" s="36"/>
      <c r="F548" s="37" t="n">
        <v>0</v>
      </c>
      <c r="G548" s="37" t="n">
        <v>0</v>
      </c>
      <c r="H548" s="37" t="n">
        <v>0</v>
      </c>
      <c r="I548" s="37" t="n">
        <v>0</v>
      </c>
      <c r="J548" s="37" t="n">
        <v>0</v>
      </c>
      <c r="K548" s="37" t="n">
        <v>0</v>
      </c>
      <c r="L548" s="37" t="n">
        <v>0</v>
      </c>
      <c r="M548" s="37" t="n">
        <f aca="false">L548*104/100</f>
        <v>0</v>
      </c>
      <c r="N548" s="37" t="n">
        <v>0</v>
      </c>
      <c r="O548" s="33" t="n">
        <v>0</v>
      </c>
      <c r="P548" s="33" t="n">
        <v>0</v>
      </c>
      <c r="Q548" s="33" t="n">
        <v>0</v>
      </c>
      <c r="R548" s="37" t="n">
        <v>0</v>
      </c>
      <c r="T548" s="49"/>
      <c r="U548" s="49"/>
      <c r="V548" s="49"/>
      <c r="W548" s="44"/>
    </row>
    <row r="549" s="42" customFormat="true" ht="38.05" hidden="false" customHeight="true" outlineLevel="0" collapsed="false">
      <c r="A549" s="64"/>
      <c r="B549" s="54"/>
      <c r="C549" s="31" t="s">
        <v>34</v>
      </c>
      <c r="D549" s="36"/>
      <c r="E549" s="36"/>
      <c r="F549" s="37" t="n">
        <v>0</v>
      </c>
      <c r="G549" s="37" t="n">
        <v>0</v>
      </c>
      <c r="H549" s="37" t="n">
        <v>0</v>
      </c>
      <c r="I549" s="37" t="n">
        <v>0</v>
      </c>
      <c r="J549" s="37" t="n">
        <v>0</v>
      </c>
      <c r="K549" s="37" t="n">
        <v>0</v>
      </c>
      <c r="L549" s="37" t="n">
        <v>0</v>
      </c>
      <c r="M549" s="37" t="n">
        <f aca="false">L549*104/100</f>
        <v>0</v>
      </c>
      <c r="N549" s="37" t="n">
        <v>0</v>
      </c>
      <c r="O549" s="33" t="n">
        <v>0</v>
      </c>
      <c r="P549" s="33" t="n">
        <v>0</v>
      </c>
      <c r="Q549" s="33" t="n">
        <v>0</v>
      </c>
      <c r="R549" s="37" t="n">
        <v>0</v>
      </c>
      <c r="T549" s="49"/>
      <c r="U549" s="49"/>
      <c r="V549" s="49"/>
      <c r="W549" s="44"/>
    </row>
    <row r="550" s="42" customFormat="true" ht="28.35" hidden="false" customHeight="true" outlineLevel="0" collapsed="false">
      <c r="A550" s="64"/>
      <c r="B550" s="54"/>
      <c r="C550" s="31" t="s">
        <v>35</v>
      </c>
      <c r="D550" s="36"/>
      <c r="E550" s="36"/>
      <c r="F550" s="37" t="n">
        <v>0</v>
      </c>
      <c r="G550" s="37" t="n">
        <v>0</v>
      </c>
      <c r="H550" s="37" t="n">
        <v>0</v>
      </c>
      <c r="I550" s="37" t="n">
        <v>0</v>
      </c>
      <c r="J550" s="37" t="n">
        <v>0</v>
      </c>
      <c r="K550" s="37" t="n">
        <v>0</v>
      </c>
      <c r="L550" s="37" t="n">
        <v>0</v>
      </c>
      <c r="M550" s="37" t="n">
        <f aca="false">L550*104/100</f>
        <v>0</v>
      </c>
      <c r="N550" s="37" t="n">
        <v>0</v>
      </c>
      <c r="O550" s="33" t="n">
        <v>0</v>
      </c>
      <c r="P550" s="33" t="n">
        <v>0</v>
      </c>
      <c r="Q550" s="33" t="n">
        <v>0</v>
      </c>
      <c r="R550" s="37" t="n">
        <v>0</v>
      </c>
      <c r="T550" s="49"/>
      <c r="U550" s="49"/>
      <c r="V550" s="49"/>
      <c r="W550" s="44"/>
    </row>
    <row r="551" s="42" customFormat="true" ht="73.1" hidden="false" customHeight="true" outlineLevel="0" collapsed="false">
      <c r="A551" s="64"/>
      <c r="B551" s="54"/>
      <c r="C551" s="31" t="s">
        <v>36</v>
      </c>
      <c r="D551" s="36"/>
      <c r="E551" s="34"/>
      <c r="F551" s="37" t="n">
        <v>0</v>
      </c>
      <c r="G551" s="37" t="n">
        <v>0</v>
      </c>
      <c r="H551" s="37" t="n">
        <v>0</v>
      </c>
      <c r="I551" s="37" t="n">
        <v>0</v>
      </c>
      <c r="J551" s="37" t="n">
        <v>0</v>
      </c>
      <c r="K551" s="37" t="n">
        <v>0</v>
      </c>
      <c r="L551" s="37" t="n">
        <v>0</v>
      </c>
      <c r="M551" s="37" t="n">
        <f aca="false">L551*104/100</f>
        <v>0</v>
      </c>
      <c r="N551" s="37" t="n">
        <v>0</v>
      </c>
      <c r="O551" s="33" t="n">
        <v>0</v>
      </c>
      <c r="P551" s="33" t="n">
        <v>0</v>
      </c>
      <c r="Q551" s="33" t="n">
        <v>0</v>
      </c>
      <c r="R551" s="37" t="n">
        <v>0</v>
      </c>
      <c r="T551" s="49"/>
      <c r="U551" s="49"/>
      <c r="V551" s="49"/>
      <c r="W551" s="44"/>
    </row>
    <row r="552" s="42" customFormat="true" ht="67.15" hidden="false" customHeight="true" outlineLevel="0" collapsed="false">
      <c r="A552" s="64"/>
      <c r="B552" s="54"/>
      <c r="C552" s="31" t="s">
        <v>37</v>
      </c>
      <c r="D552" s="36"/>
      <c r="E552" s="34"/>
      <c r="F552" s="37" t="n">
        <f aca="false">SUM(G552:R552)</f>
        <v>0</v>
      </c>
      <c r="G552" s="37" t="n">
        <v>0</v>
      </c>
      <c r="H552" s="37" t="n">
        <v>0</v>
      </c>
      <c r="I552" s="37" t="n">
        <v>0</v>
      </c>
      <c r="J552" s="37" t="n">
        <v>0</v>
      </c>
      <c r="K552" s="37" t="n">
        <v>0</v>
      </c>
      <c r="L552" s="37" t="n">
        <v>0</v>
      </c>
      <c r="M552" s="37" t="n">
        <f aca="false">L552*104/100</f>
        <v>0</v>
      </c>
      <c r="N552" s="37" t="n">
        <v>0</v>
      </c>
      <c r="O552" s="33" t="n">
        <v>0</v>
      </c>
      <c r="P552" s="33" t="n">
        <v>0</v>
      </c>
      <c r="Q552" s="33" t="n">
        <v>0</v>
      </c>
      <c r="R552" s="37" t="n">
        <v>0</v>
      </c>
      <c r="T552" s="49"/>
      <c r="U552" s="49"/>
      <c r="V552" s="49"/>
      <c r="W552" s="44"/>
    </row>
    <row r="553" customFormat="false" ht="18.75" hidden="false" customHeight="false" outlineLevel="0" collapsed="false">
      <c r="F553" s="5"/>
      <c r="G553" s="5"/>
      <c r="H553" s="5"/>
      <c r="I553" s="5"/>
      <c r="K553" s="5"/>
      <c r="L553" s="5"/>
      <c r="N553" s="5"/>
      <c r="R553" s="82" t="s">
        <v>198</v>
      </c>
      <c r="T553" s="25"/>
      <c r="U553" s="25"/>
      <c r="V553" s="25"/>
    </row>
    <row r="554" customFormat="false" ht="12.75" hidden="false" customHeight="false" outlineLevel="0" collapsed="false">
      <c r="T554" s="25"/>
      <c r="U554" s="25"/>
      <c r="V554" s="25"/>
    </row>
    <row r="555" customFormat="false" ht="12.75" hidden="false" customHeight="true" outlineLevel="0" collapsed="false">
      <c r="A555" s="83" t="s">
        <v>199</v>
      </c>
      <c r="B555" s="83"/>
      <c r="C555" s="83"/>
      <c r="D555" s="83"/>
      <c r="E555" s="83"/>
      <c r="F555" s="83"/>
      <c r="G555" s="83"/>
      <c r="H555" s="83"/>
      <c r="I555" s="83"/>
      <c r="J555" s="83"/>
      <c r="K555" s="83"/>
      <c r="L555" s="83"/>
      <c r="M555" s="83"/>
      <c r="N555" s="83"/>
      <c r="T555" s="25"/>
      <c r="U555" s="25"/>
      <c r="V555" s="25"/>
    </row>
    <row r="556" customFormat="false" ht="12.75" hidden="false" customHeight="false" outlineLevel="0" collapsed="false">
      <c r="A556" s="84"/>
      <c r="B556" s="85"/>
      <c r="C556" s="84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T556" s="25"/>
      <c r="U556" s="25"/>
      <c r="V556" s="25"/>
    </row>
    <row r="557" customFormat="false" ht="12.75" hidden="false" customHeight="false" outlineLevel="0" collapsed="false">
      <c r="A557" s="83"/>
      <c r="B557" s="83"/>
      <c r="C557" s="83"/>
      <c r="D557" s="83"/>
      <c r="E557" s="83"/>
      <c r="F557" s="83"/>
      <c r="G557" s="83"/>
      <c r="H557" s="83"/>
      <c r="I557" s="83"/>
      <c r="J557" s="83"/>
      <c r="K557" s="83"/>
      <c r="L557" s="83"/>
      <c r="M557" s="83"/>
      <c r="N557" s="83"/>
      <c r="T557" s="25"/>
      <c r="U557" s="25"/>
      <c r="V557" s="25"/>
    </row>
    <row r="558" customFormat="false" ht="12.75" hidden="false" customHeight="false" outlineLevel="0" collapsed="false">
      <c r="T558" s="25"/>
      <c r="U558" s="25"/>
      <c r="V558" s="25"/>
    </row>
    <row r="559" s="1" customFormat="true" ht="12.75" hidden="false" customHeight="false" outlineLevel="0" collapsed="false">
      <c r="K559" s="86"/>
      <c r="L559" s="86"/>
      <c r="M559" s="86"/>
      <c r="T559" s="7"/>
      <c r="U559" s="7"/>
      <c r="V559" s="7"/>
    </row>
  </sheetData>
  <autoFilter ref="A10:AA553"/>
  <mergeCells count="159">
    <mergeCell ref="A1:B1"/>
    <mergeCell ref="G1:I1"/>
    <mergeCell ref="K1:M1"/>
    <mergeCell ref="K2:M2"/>
    <mergeCell ref="P5:R5"/>
    <mergeCell ref="L6:M6"/>
    <mergeCell ref="P6:R6"/>
    <mergeCell ref="A7:R7"/>
    <mergeCell ref="A9:A10"/>
    <mergeCell ref="B9:B10"/>
    <mergeCell ref="D9:E9"/>
    <mergeCell ref="F9:R9"/>
    <mergeCell ref="A12:A19"/>
    <mergeCell ref="B12:B19"/>
    <mergeCell ref="A20:A26"/>
    <mergeCell ref="B20:B26"/>
    <mergeCell ref="A27:A33"/>
    <mergeCell ref="B27:B33"/>
    <mergeCell ref="A34:A39"/>
    <mergeCell ref="B34:B39"/>
    <mergeCell ref="A41:A59"/>
    <mergeCell ref="B41:B59"/>
    <mergeCell ref="A60:A66"/>
    <mergeCell ref="B60:B66"/>
    <mergeCell ref="A67:A70"/>
    <mergeCell ref="B67:B70"/>
    <mergeCell ref="A74:A80"/>
    <mergeCell ref="B74:B80"/>
    <mergeCell ref="A81:A88"/>
    <mergeCell ref="B81:B88"/>
    <mergeCell ref="A89:A95"/>
    <mergeCell ref="B89:B95"/>
    <mergeCell ref="A96:A101"/>
    <mergeCell ref="B96:B101"/>
    <mergeCell ref="A103:A110"/>
    <mergeCell ref="B103:B110"/>
    <mergeCell ref="A111:A115"/>
    <mergeCell ref="B111:B115"/>
    <mergeCell ref="A116:A120"/>
    <mergeCell ref="B116:B120"/>
    <mergeCell ref="A121:A125"/>
    <mergeCell ref="B121:B125"/>
    <mergeCell ref="A126:A129"/>
    <mergeCell ref="B126:B129"/>
    <mergeCell ref="A131:A135"/>
    <mergeCell ref="B131:B135"/>
    <mergeCell ref="A136:A140"/>
    <mergeCell ref="B136:B140"/>
    <mergeCell ref="A141:A145"/>
    <mergeCell ref="B141:B145"/>
    <mergeCell ref="A146:A150"/>
    <mergeCell ref="B146:B150"/>
    <mergeCell ref="A151:A155"/>
    <mergeCell ref="B151:B155"/>
    <mergeCell ref="A156:A159"/>
    <mergeCell ref="B156:B159"/>
    <mergeCell ref="A163:A169"/>
    <mergeCell ref="B163:B169"/>
    <mergeCell ref="A170:A176"/>
    <mergeCell ref="B170:B176"/>
    <mergeCell ref="A177:A183"/>
    <mergeCell ref="B177:B183"/>
    <mergeCell ref="A184:A189"/>
    <mergeCell ref="B184:B189"/>
    <mergeCell ref="A191:A197"/>
    <mergeCell ref="B191:B197"/>
    <mergeCell ref="A198:A204"/>
    <mergeCell ref="B198:B204"/>
    <mergeCell ref="A205:A211"/>
    <mergeCell ref="B205:B211"/>
    <mergeCell ref="A212:A219"/>
    <mergeCell ref="B212:B219"/>
    <mergeCell ref="A220:A226"/>
    <mergeCell ref="B220:B226"/>
    <mergeCell ref="A227:A236"/>
    <mergeCell ref="B227:B236"/>
    <mergeCell ref="A237:A243"/>
    <mergeCell ref="B237:B243"/>
    <mergeCell ref="A244:A250"/>
    <mergeCell ref="B244:B250"/>
    <mergeCell ref="A251:A252"/>
    <mergeCell ref="B251:B252"/>
    <mergeCell ref="A258:A268"/>
    <mergeCell ref="B258:B268"/>
    <mergeCell ref="A269:A275"/>
    <mergeCell ref="B269:B275"/>
    <mergeCell ref="A276:A282"/>
    <mergeCell ref="B276:B282"/>
    <mergeCell ref="A283:A292"/>
    <mergeCell ref="B283:B292"/>
    <mergeCell ref="A293:A301"/>
    <mergeCell ref="B293:B301"/>
    <mergeCell ref="A302:A308"/>
    <mergeCell ref="B302:B308"/>
    <mergeCell ref="A309:A315"/>
    <mergeCell ref="B309:B315"/>
    <mergeCell ref="A316:A328"/>
    <mergeCell ref="B316:B328"/>
    <mergeCell ref="A329:A335"/>
    <mergeCell ref="B329:B335"/>
    <mergeCell ref="A336:A342"/>
    <mergeCell ref="B336:B342"/>
    <mergeCell ref="A343:A348"/>
    <mergeCell ref="B343:B348"/>
    <mergeCell ref="A350:A356"/>
    <mergeCell ref="B350:B356"/>
    <mergeCell ref="A357:A363"/>
    <mergeCell ref="B357:B363"/>
    <mergeCell ref="A364:A370"/>
    <mergeCell ref="B364:B370"/>
    <mergeCell ref="A371:A377"/>
    <mergeCell ref="B371:B377"/>
    <mergeCell ref="A378:A379"/>
    <mergeCell ref="B378:B379"/>
    <mergeCell ref="B380:B384"/>
    <mergeCell ref="A385:A391"/>
    <mergeCell ref="B385:B391"/>
    <mergeCell ref="A392:A398"/>
    <mergeCell ref="B392:B398"/>
    <mergeCell ref="A399:A405"/>
    <mergeCell ref="B399:B405"/>
    <mergeCell ref="A406:A410"/>
    <mergeCell ref="B406:B410"/>
    <mergeCell ref="A413:A419"/>
    <mergeCell ref="B413:B419"/>
    <mergeCell ref="A420:A426"/>
    <mergeCell ref="B420:B426"/>
    <mergeCell ref="A427:A433"/>
    <mergeCell ref="B427:B433"/>
    <mergeCell ref="A434:A439"/>
    <mergeCell ref="B434:B439"/>
    <mergeCell ref="A441:A448"/>
    <mergeCell ref="B441:B448"/>
    <mergeCell ref="A449:A455"/>
    <mergeCell ref="B449:B455"/>
    <mergeCell ref="A456:A462"/>
    <mergeCell ref="B456:B462"/>
    <mergeCell ref="A463:A468"/>
    <mergeCell ref="B463:B468"/>
    <mergeCell ref="A470:A476"/>
    <mergeCell ref="B470:B476"/>
    <mergeCell ref="A477:A484"/>
    <mergeCell ref="B477:B484"/>
    <mergeCell ref="A485:A491"/>
    <mergeCell ref="B485:B491"/>
    <mergeCell ref="A492:A498"/>
    <mergeCell ref="B492:B498"/>
    <mergeCell ref="A500:A513"/>
    <mergeCell ref="B500:B513"/>
    <mergeCell ref="A514:A524"/>
    <mergeCell ref="B514:B524"/>
    <mergeCell ref="A525:A532"/>
    <mergeCell ref="B525:B532"/>
    <mergeCell ref="A535:A543"/>
    <mergeCell ref="B535:B543"/>
    <mergeCell ref="A544:A552"/>
    <mergeCell ref="B544:B552"/>
    <mergeCell ref="A555:N555"/>
    <mergeCell ref="A557:N557"/>
  </mergeCells>
  <printOptions headings="false" gridLines="false" gridLinesSet="true" horizontalCentered="false" verticalCentered="false"/>
  <pageMargins left="0.39375" right="0.39375" top="0.39375" bottom="0.196527777777778" header="0.511811023622047" footer="0.511811023622047"/>
  <pageSetup paperSize="77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B261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1" activeCellId="1" sqref="T5:T6 A1"/>
    </sheetView>
  </sheetViews>
  <sheetFormatPr defaultColWidth="9.1640625" defaultRowHeight="12.75" zeroHeight="false" outlineLevelRow="0" outlineLevelCol="0"/>
  <cols>
    <col collapsed="false" customWidth="true" hidden="false" outlineLevel="0" max="1" min="1" style="87" width="6.2"/>
    <col collapsed="false" customWidth="true" hidden="false" outlineLevel="0" max="2" min="2" style="87" width="23.95"/>
    <col collapsed="false" customWidth="true" hidden="false" outlineLevel="0" max="3" min="3" style="87" width="28.89"/>
    <col collapsed="false" customWidth="true" hidden="false" outlineLevel="0" max="4" min="4" style="88" width="11.56"/>
    <col collapsed="false" customWidth="true" hidden="false" outlineLevel="0" max="5" min="5" style="88" width="8.17"/>
    <col collapsed="false" customWidth="true" hidden="false" outlineLevel="0" max="6" min="6" style="89" width="21"/>
    <col collapsed="false" customWidth="true" hidden="false" outlineLevel="0" max="7" min="7" style="89" width="22.41"/>
    <col collapsed="false" customWidth="true" hidden="false" outlineLevel="0" max="8" min="8" style="89" width="21.7"/>
    <col collapsed="false" customWidth="true" hidden="false" outlineLevel="0" max="9" min="9" style="89" width="14.09"/>
    <col collapsed="false" customWidth="true" hidden="false" outlineLevel="0" max="10" min="10" style="89" width="23.4"/>
    <col collapsed="false" customWidth="true" hidden="false" outlineLevel="0" max="11" min="11" style="89" width="14.8"/>
    <col collapsed="false" customWidth="true" hidden="false" outlineLevel="0" max="12" min="12" style="89" width="21.7"/>
    <col collapsed="false" customWidth="true" hidden="false" outlineLevel="0" max="13" min="13" style="89" width="13.53"/>
    <col collapsed="false" customWidth="true" hidden="false" outlineLevel="0" max="14" min="14" style="89" width="21.98"/>
    <col collapsed="false" customWidth="true" hidden="false" outlineLevel="0" max="15" min="15" style="89" width="14.09"/>
    <col collapsed="false" customWidth="true" hidden="false" outlineLevel="0" max="16" min="16" style="89" width="22.41"/>
    <col collapsed="false" customWidth="true" hidden="false" outlineLevel="0" max="17" min="17" style="89" width="12.11"/>
    <col collapsed="false" customWidth="true" hidden="false" outlineLevel="0" max="18" min="18" style="89" width="21.7"/>
    <col collapsed="false" customWidth="true" hidden="true" outlineLevel="0" max="19" min="19" style="89" width="5.21"/>
    <col collapsed="false" customWidth="true" hidden="false" outlineLevel="0" max="20" min="20" style="89" width="14.09"/>
    <col collapsed="false" customWidth="true" hidden="false" outlineLevel="0" max="21" min="21" style="90" width="10.14"/>
    <col collapsed="false" customWidth="true" hidden="false" outlineLevel="0" max="22" min="22" style="90" width="5.21"/>
    <col collapsed="false" customWidth="true" hidden="false" outlineLevel="0" max="23" min="23" style="90" width="13.11"/>
    <col collapsed="false" customWidth="true" hidden="false" outlineLevel="0" max="24" min="24" style="87" width="8.6"/>
    <col collapsed="false" customWidth="true" hidden="false" outlineLevel="0" max="25" min="25" style="87" width="8.17"/>
    <col collapsed="false" customWidth="false" hidden="false" outlineLevel="0" max="26" min="26" style="87" width="9.16"/>
    <col collapsed="false" customWidth="true" hidden="false" outlineLevel="0" max="27" min="27" style="87" width="16.06"/>
    <col collapsed="false" customWidth="true" hidden="false" outlineLevel="0" max="28" min="28" style="87" width="18.75"/>
    <col collapsed="false" customWidth="false" hidden="false" outlineLevel="0" max="16384" min="29" style="87" width="9.16"/>
  </cols>
  <sheetData>
    <row r="1" s="92" customFormat="true" ht="18" hidden="true" customHeight="false" outlineLevel="0" collapsed="false">
      <c r="A1" s="91"/>
      <c r="B1" s="91"/>
      <c r="D1" s="88"/>
      <c r="E1" s="88"/>
      <c r="F1" s="89"/>
      <c r="G1" s="93"/>
      <c r="H1" s="93"/>
      <c r="I1" s="93"/>
      <c r="J1" s="93"/>
      <c r="K1" s="94"/>
      <c r="L1" s="94"/>
      <c r="M1" s="94"/>
      <c r="N1" s="93"/>
      <c r="O1" s="93"/>
      <c r="P1" s="93"/>
      <c r="Q1" s="93"/>
      <c r="R1" s="93"/>
      <c r="S1" s="89"/>
      <c r="T1" s="89"/>
      <c r="U1" s="95"/>
      <c r="V1" s="95"/>
      <c r="W1" s="95"/>
    </row>
    <row r="2" s="92" customFormat="true" ht="46.2" hidden="true" customHeight="true" outlineLevel="0" collapsed="false">
      <c r="D2" s="88"/>
      <c r="E2" s="88"/>
      <c r="F2" s="89"/>
      <c r="G2" s="96"/>
      <c r="H2" s="97" t="n">
        <f aca="false">H16+H17-10904637.62896</f>
        <v>-96947.2877899986</v>
      </c>
      <c r="I2" s="97"/>
      <c r="J2" s="96"/>
      <c r="K2" s="96"/>
      <c r="L2" s="98"/>
      <c r="M2" s="98"/>
      <c r="N2" s="99"/>
      <c r="O2" s="99"/>
      <c r="P2" s="99"/>
      <c r="Q2" s="99"/>
      <c r="R2" s="99"/>
      <c r="S2" s="100"/>
      <c r="T2" s="100"/>
      <c r="U2" s="95"/>
      <c r="V2" s="95"/>
      <c r="W2" s="95"/>
    </row>
    <row r="3" s="92" customFormat="true" ht="10.5" hidden="true" customHeight="true" outlineLevel="0" collapsed="false">
      <c r="D3" s="88"/>
      <c r="E3" s="88"/>
      <c r="F3" s="89"/>
      <c r="G3" s="89"/>
      <c r="H3" s="89"/>
      <c r="I3" s="89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95"/>
      <c r="V3" s="95"/>
      <c r="W3" s="95"/>
    </row>
    <row r="4" s="92" customFormat="true" ht="17.7" hidden="true" customHeight="true" outlineLevel="0" collapsed="false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89"/>
      <c r="T4" s="89"/>
      <c r="U4" s="95"/>
      <c r="V4" s="95"/>
      <c r="W4" s="95"/>
    </row>
    <row r="5" s="92" customFormat="true" ht="39.45" hidden="true" customHeight="true" outlineLevel="0" collapsed="false">
      <c r="D5" s="88"/>
      <c r="E5" s="88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95"/>
      <c r="V5" s="95"/>
      <c r="W5" s="95"/>
    </row>
    <row r="6" s="92" customFormat="true" ht="14.25" hidden="false" customHeight="true" outlineLevel="0" collapsed="false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89"/>
      <c r="T6" s="89"/>
      <c r="U6" s="95"/>
      <c r="V6" s="95"/>
      <c r="W6" s="95"/>
    </row>
    <row r="7" s="92" customFormat="true" ht="26.7" hidden="false" customHeight="true" outlineLevel="0" collapsed="false">
      <c r="A7" s="103"/>
      <c r="B7" s="103"/>
      <c r="C7" s="103"/>
      <c r="D7" s="103"/>
      <c r="E7" s="103"/>
      <c r="F7" s="103"/>
      <c r="G7" s="103"/>
      <c r="H7" s="104"/>
      <c r="I7" s="104"/>
      <c r="J7" s="104"/>
      <c r="K7" s="104"/>
      <c r="L7" s="104"/>
      <c r="M7" s="104"/>
      <c r="N7" s="104"/>
      <c r="O7" s="104"/>
      <c r="P7" s="105" t="s">
        <v>200</v>
      </c>
      <c r="Q7" s="105"/>
      <c r="R7" s="105"/>
      <c r="S7" s="89"/>
      <c r="T7" s="89"/>
      <c r="U7" s="95"/>
      <c r="V7" s="95"/>
      <c r="W7" s="95"/>
    </row>
    <row r="8" s="92" customFormat="true" ht="26.7" hidden="false" customHeight="true" outlineLevel="0" collapsed="false">
      <c r="A8" s="103"/>
      <c r="B8" s="103"/>
      <c r="C8" s="103"/>
      <c r="D8" s="103"/>
      <c r="E8" s="103"/>
      <c r="F8" s="103"/>
      <c r="G8" s="103"/>
      <c r="H8" s="104"/>
      <c r="I8" s="104"/>
      <c r="J8" s="105" t="s">
        <v>201</v>
      </c>
      <c r="K8" s="105"/>
      <c r="L8" s="105"/>
      <c r="M8" s="105"/>
      <c r="N8" s="105"/>
      <c r="O8" s="105"/>
      <c r="P8" s="105"/>
      <c r="Q8" s="105"/>
      <c r="R8" s="105"/>
      <c r="S8" s="89"/>
      <c r="T8" s="89"/>
      <c r="U8" s="95"/>
      <c r="V8" s="95"/>
      <c r="W8" s="95"/>
    </row>
    <row r="9" s="92" customFormat="true" ht="29.25" hidden="false" customHeight="true" outlineLevel="0" collapsed="false">
      <c r="A9" s="106"/>
      <c r="B9" s="106"/>
      <c r="C9" s="106"/>
      <c r="D9" s="106"/>
      <c r="E9" s="106"/>
      <c r="F9" s="106"/>
      <c r="G9" s="106"/>
      <c r="H9" s="105" t="s">
        <v>202</v>
      </c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89"/>
      <c r="T9" s="89"/>
      <c r="U9" s="95"/>
      <c r="V9" s="95"/>
      <c r="W9" s="95"/>
    </row>
    <row r="10" s="92" customFormat="true" ht="29.25" hidden="false" customHeight="true" outlineLevel="0" collapsed="false">
      <c r="A10" s="106"/>
      <c r="B10" s="106"/>
      <c r="C10" s="106"/>
      <c r="D10" s="106"/>
      <c r="E10" s="106"/>
      <c r="F10" s="106"/>
      <c r="G10" s="106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  <c r="S10" s="89"/>
      <c r="T10" s="107"/>
      <c r="U10" s="95"/>
      <c r="V10" s="95"/>
      <c r="W10" s="95"/>
    </row>
    <row r="11" s="92" customFormat="true" ht="60.75" hidden="false" customHeight="true" outlineLevel="0" collapsed="false">
      <c r="A11" s="109" t="s">
        <v>2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89"/>
      <c r="T11" s="89"/>
      <c r="U11" s="95"/>
      <c r="V11" s="95"/>
      <c r="W11" s="95"/>
    </row>
    <row r="12" s="92" customFormat="true" ht="39.45" hidden="false" customHeight="true" outlineLevel="0" collapsed="false">
      <c r="A12" s="110" t="s">
        <v>3</v>
      </c>
      <c r="B12" s="110" t="s">
        <v>4</v>
      </c>
      <c r="C12" s="110"/>
      <c r="D12" s="110" t="s">
        <v>5</v>
      </c>
      <c r="E12" s="110"/>
      <c r="F12" s="111" t="s">
        <v>203</v>
      </c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95"/>
      <c r="V12" s="95"/>
      <c r="W12" s="95"/>
    </row>
    <row r="13" s="92" customFormat="true" ht="57.75" hidden="false" customHeight="true" outlineLevel="0" collapsed="false">
      <c r="A13" s="110"/>
      <c r="B13" s="110"/>
      <c r="C13" s="110"/>
      <c r="D13" s="112" t="s">
        <v>7</v>
      </c>
      <c r="E13" s="112" t="s">
        <v>8</v>
      </c>
      <c r="F13" s="113" t="s">
        <v>9</v>
      </c>
      <c r="G13" s="113" t="s">
        <v>10</v>
      </c>
      <c r="H13" s="113" t="s">
        <v>11</v>
      </c>
      <c r="I13" s="113" t="s">
        <v>204</v>
      </c>
      <c r="J13" s="113" t="s">
        <v>12</v>
      </c>
      <c r="K13" s="113" t="s">
        <v>204</v>
      </c>
      <c r="L13" s="113" t="s">
        <v>13</v>
      </c>
      <c r="M13" s="113" t="s">
        <v>204</v>
      </c>
      <c r="N13" s="113" t="s">
        <v>14</v>
      </c>
      <c r="O13" s="113" t="s">
        <v>204</v>
      </c>
      <c r="P13" s="113" t="s">
        <v>15</v>
      </c>
      <c r="Q13" s="113" t="s">
        <v>204</v>
      </c>
      <c r="R13" s="113" t="s">
        <v>16</v>
      </c>
      <c r="S13" s="114" t="s">
        <v>205</v>
      </c>
      <c r="T13" s="113" t="s">
        <v>204</v>
      </c>
      <c r="U13" s="95"/>
      <c r="V13" s="95"/>
      <c r="W13" s="95"/>
    </row>
    <row r="14" s="121" customFormat="true" ht="12.75" hidden="false" customHeight="true" outlineLevel="0" collapsed="false">
      <c r="A14" s="115" t="n">
        <v>1</v>
      </c>
      <c r="B14" s="115" t="n">
        <v>2</v>
      </c>
      <c r="C14" s="115" t="n">
        <v>3</v>
      </c>
      <c r="D14" s="115" t="n">
        <v>4</v>
      </c>
      <c r="E14" s="115" t="n">
        <v>5</v>
      </c>
      <c r="F14" s="116" t="n">
        <v>6</v>
      </c>
      <c r="G14" s="116" t="n">
        <v>7</v>
      </c>
      <c r="H14" s="116" t="n">
        <v>8</v>
      </c>
      <c r="I14" s="117"/>
      <c r="J14" s="116" t="n">
        <v>9</v>
      </c>
      <c r="K14" s="116"/>
      <c r="L14" s="116" t="s">
        <v>23</v>
      </c>
      <c r="M14" s="116"/>
      <c r="N14" s="116" t="s">
        <v>24</v>
      </c>
      <c r="O14" s="116"/>
      <c r="P14" s="116" t="s">
        <v>25</v>
      </c>
      <c r="Q14" s="116"/>
      <c r="R14" s="118" t="s">
        <v>26</v>
      </c>
      <c r="S14" s="119" t="n">
        <v>11</v>
      </c>
      <c r="T14" s="116"/>
      <c r="U14" s="120"/>
      <c r="V14" s="120"/>
      <c r="W14" s="120"/>
    </row>
    <row r="15" s="130" customFormat="true" ht="18" hidden="false" customHeight="true" outlineLevel="0" collapsed="false">
      <c r="A15" s="122"/>
      <c r="B15" s="122" t="s">
        <v>29</v>
      </c>
      <c r="C15" s="122" t="s">
        <v>30</v>
      </c>
      <c r="D15" s="123"/>
      <c r="E15" s="123"/>
      <c r="F15" s="124" t="n">
        <f aca="false">SUM(F16:F21)</f>
        <v>80921874.4742719</v>
      </c>
      <c r="G15" s="124" t="n">
        <f aca="false">SUM(G16:G21)</f>
        <v>10173088.41346</v>
      </c>
      <c r="H15" s="124" t="n">
        <f aca="false">SUM(H16:H21)</f>
        <v>10889957.22096</v>
      </c>
      <c r="I15" s="125" t="n">
        <f aca="false">IFERROR(H15/G15, 0)</f>
        <v>1.07046717558765</v>
      </c>
      <c r="J15" s="124" t="n">
        <f aca="false">SUM(J16:J21)</f>
        <v>11739410.29804</v>
      </c>
      <c r="K15" s="125" t="n">
        <f aca="false">IFERROR(J15/H15, 0)</f>
        <v>1.07800334380057</v>
      </c>
      <c r="L15" s="124" t="n">
        <f aca="false">SUM(L16:L21)</f>
        <v>11785598.83195</v>
      </c>
      <c r="M15" s="125" t="n">
        <f aca="false">IFERROR(L15/J15, 0)</f>
        <v>1.00393448501563</v>
      </c>
      <c r="N15" s="124" t="n">
        <f aca="false">SUM(N16:N21)</f>
        <v>12045857.972</v>
      </c>
      <c r="O15" s="125" t="n">
        <f aca="false">IFERROR(N15/L15, 0)</f>
        <v>1.02208281002612</v>
      </c>
      <c r="P15" s="124" t="n">
        <f aca="false">SUM(P16:P21)</f>
        <v>11905859.893</v>
      </c>
      <c r="Q15" s="125" t="n">
        <f aca="false">IFERROR(P15/N15, 0)</f>
        <v>0.988377907217118</v>
      </c>
      <c r="R15" s="126" t="n">
        <f aca="false">SUM(R16:R21)</f>
        <v>12382094.28872</v>
      </c>
      <c r="S15" s="127"/>
      <c r="T15" s="125" t="n">
        <f aca="false">IFERROR(R15/P15, 0)</f>
        <v>1.04</v>
      </c>
      <c r="U15" s="128" t="n">
        <v>1.052</v>
      </c>
      <c r="V15" s="129"/>
      <c r="W15" s="129"/>
      <c r="AA15" s="131" t="n">
        <f aca="false">12045857.972-N15</f>
        <v>-3.72529029846191E-009</v>
      </c>
      <c r="AB15" s="131" t="n">
        <f aca="false">11905859.893-P15</f>
        <v>0</v>
      </c>
    </row>
    <row r="16" s="130" customFormat="true" ht="55.5" hidden="false" customHeight="true" outlineLevel="0" collapsed="false">
      <c r="A16" s="122"/>
      <c r="B16" s="122"/>
      <c r="C16" s="122" t="s">
        <v>31</v>
      </c>
      <c r="D16" s="132"/>
      <c r="E16" s="123"/>
      <c r="F16" s="124" t="n">
        <f aca="false">SUM(G16:S16)</f>
        <v>735002.277803116</v>
      </c>
      <c r="G16" s="124" t="n">
        <f aca="false">G23+G107+G186+G215+G237</f>
        <v>247344.42619</v>
      </c>
      <c r="H16" s="124" t="n">
        <f aca="false">H23+H107+H186+H215+H237</f>
        <v>126980.7</v>
      </c>
      <c r="I16" s="125" t="n">
        <f aca="false">IFERROR(H16/G16, 0)</f>
        <v>0.513376031778693</v>
      </c>
      <c r="J16" s="124" t="n">
        <f aca="false">J23+J107+J186+J215+J237</f>
        <v>302594.2</v>
      </c>
      <c r="K16" s="125" t="n">
        <f aca="false">IFERROR(J16/H16, 0)</f>
        <v>2.38299363604075</v>
      </c>
      <c r="L16" s="124" t="n">
        <f aca="false">L23+L107+L186+L215+L237</f>
        <v>27936.4</v>
      </c>
      <c r="M16" s="125" t="n">
        <f aca="false">IFERROR(L16/J16, 0)</f>
        <v>0.0923229857016427</v>
      </c>
      <c r="N16" s="124" t="n">
        <f aca="false">N23+N107+N186+N215+N237</f>
        <v>9915.2</v>
      </c>
      <c r="O16" s="125" t="n">
        <f aca="false">IFERROR(N16/L16, 0)</f>
        <v>0.354920462192695</v>
      </c>
      <c r="P16" s="124" t="n">
        <f aca="false">P23+P107+P186+P215+P237</f>
        <v>9915.2</v>
      </c>
      <c r="Q16" s="125" t="n">
        <f aca="false">IFERROR(P16/N16, 0)</f>
        <v>1</v>
      </c>
      <c r="R16" s="126" t="n">
        <f aca="false">R23+R107+R186+R215+R237</f>
        <v>10311.808</v>
      </c>
      <c r="S16" s="127"/>
      <c r="T16" s="125" t="n">
        <f aca="false">IFERROR(R16/P16, 0)</f>
        <v>1.04</v>
      </c>
      <c r="U16" s="133" t="n">
        <v>1.05</v>
      </c>
      <c r="V16" s="129"/>
      <c r="W16" s="129"/>
    </row>
    <row r="17" s="130" customFormat="true" ht="19.5" hidden="false" customHeight="true" outlineLevel="0" collapsed="false">
      <c r="A17" s="122"/>
      <c r="B17" s="122"/>
      <c r="C17" s="122" t="s">
        <v>32</v>
      </c>
      <c r="D17" s="132"/>
      <c r="E17" s="123"/>
      <c r="F17" s="124" t="n">
        <f aca="false">G17+H17+J17+L17+N17+P17+R17</f>
        <v>80028806.82457</v>
      </c>
      <c r="G17" s="124" t="n">
        <f aca="false">G24+G108+G187+G216+G238</f>
        <v>9894889.11927</v>
      </c>
      <c r="H17" s="124" t="n">
        <f aca="false">H24+H108+H187+H216++H238</f>
        <v>10680709.64117</v>
      </c>
      <c r="I17" s="125" t="n">
        <f aca="false">IFERROR(H17/G17, 0)</f>
        <v>1.07941680926668</v>
      </c>
      <c r="J17" s="124" t="n">
        <f aca="false">J24+J108+J187+J216++J238</f>
        <v>11391875.68646</v>
      </c>
      <c r="K17" s="125" t="n">
        <f aca="false">IFERROR(J17/H17, 0)</f>
        <v>1.06658415678194</v>
      </c>
      <c r="L17" s="124" t="n">
        <f aca="false">L24+L108+L187+L216++L238</f>
        <v>11757662.43195</v>
      </c>
      <c r="M17" s="125" t="n">
        <f aca="false">IFERROR(L17/J17, 0)</f>
        <v>1.03210943970577</v>
      </c>
      <c r="N17" s="124" t="n">
        <f aca="false">N24+N108+N187+N216++N238</f>
        <v>12035942.772</v>
      </c>
      <c r="O17" s="125" t="n">
        <f aca="false">IFERROR(N17/L17, 0)</f>
        <v>1.02366799877617</v>
      </c>
      <c r="P17" s="124" t="n">
        <f aca="false">P24+P108+P187+P216++P238</f>
        <v>11895944.693</v>
      </c>
      <c r="Q17" s="125" t="n">
        <f aca="false">IFERROR(P17/N17, 0)</f>
        <v>0.988368332946407</v>
      </c>
      <c r="R17" s="126" t="n">
        <f aca="false">R24+R108+R187+R216++R238</f>
        <v>12371782.48072</v>
      </c>
      <c r="S17" s="127"/>
      <c r="T17" s="125" t="n">
        <f aca="false">IFERROR(R17/P17, 0)</f>
        <v>1.04</v>
      </c>
      <c r="U17" s="133" t="n">
        <v>1.048</v>
      </c>
      <c r="V17" s="129"/>
      <c r="W17" s="129"/>
    </row>
    <row r="18" s="130" customFormat="true" ht="20.25" hidden="false" customHeight="true" outlineLevel="0" collapsed="false">
      <c r="A18" s="122"/>
      <c r="B18" s="122"/>
      <c r="C18" s="122" t="s">
        <v>33</v>
      </c>
      <c r="D18" s="132"/>
      <c r="E18" s="123"/>
      <c r="F18" s="124" t="n">
        <f aca="false">SUM(G18:S18)</f>
        <v>158065.371898725</v>
      </c>
      <c r="G18" s="124" t="n">
        <f aca="false">G25+G109+G188+G217+G239</f>
        <v>30854.868</v>
      </c>
      <c r="H18" s="124" t="n">
        <f aca="false">H25+H109+H188+H217++H239</f>
        <v>82266.87979</v>
      </c>
      <c r="I18" s="125" t="n">
        <f aca="false">IFERROR(H18/G18, 0)</f>
        <v>2.66625285157597</v>
      </c>
      <c r="J18" s="124" t="n">
        <f aca="false">J25+J109+J188+J217++J239</f>
        <v>44940.41158</v>
      </c>
      <c r="K18" s="125" t="n">
        <f aca="false">IFERROR(J18/H18, 0)</f>
        <v>0.546275873045361</v>
      </c>
      <c r="L18" s="124" t="n">
        <f aca="false">L25+L109+L188+L217++L239</f>
        <v>0</v>
      </c>
      <c r="M18" s="125"/>
      <c r="N18" s="124" t="n">
        <f aca="false">N25+N109+N188+N217++N239</f>
        <v>0</v>
      </c>
      <c r="O18" s="125"/>
      <c r="P18" s="124" t="n">
        <f aca="false">P25+P109+P188+P217++P239</f>
        <v>0</v>
      </c>
      <c r="Q18" s="125"/>
      <c r="R18" s="126" t="n">
        <f aca="false">P18*104/100</f>
        <v>0</v>
      </c>
      <c r="S18" s="127"/>
      <c r="T18" s="125"/>
      <c r="U18" s="134" t="n">
        <v>1.047</v>
      </c>
      <c r="V18" s="135" t="n">
        <f aca="false">H31+H38+H45+H51+H57+H64+H71+H78-121081</f>
        <v>8566137.90405</v>
      </c>
      <c r="W18" s="135" t="n">
        <f aca="false">J31+J38+J45+J51+J57+J64+J71+J78</f>
        <v>9111828.84993</v>
      </c>
      <c r="X18" s="135"/>
    </row>
    <row r="19" s="130" customFormat="true" ht="33.75" hidden="false" customHeight="true" outlineLevel="0" collapsed="false">
      <c r="A19" s="122"/>
      <c r="B19" s="122"/>
      <c r="C19" s="122" t="s">
        <v>34</v>
      </c>
      <c r="D19" s="132"/>
      <c r="E19" s="123"/>
      <c r="F19" s="124" t="n">
        <f aca="false">SUM(G19:S19)</f>
        <v>0</v>
      </c>
      <c r="G19" s="124" t="n">
        <f aca="false">G26+G110+G189+G218+G240</f>
        <v>0</v>
      </c>
      <c r="H19" s="124" t="n">
        <f aca="false">H26+H110+H189+H218++H240</f>
        <v>0</v>
      </c>
      <c r="I19" s="125"/>
      <c r="J19" s="124" t="n">
        <f aca="false">J26+J110+J189+J218++J240</f>
        <v>0</v>
      </c>
      <c r="K19" s="125"/>
      <c r="L19" s="124" t="n">
        <f aca="false">L26+L110+L189+L218++L240</f>
        <v>0</v>
      </c>
      <c r="M19" s="125"/>
      <c r="N19" s="124" t="n">
        <f aca="false">N26+N110+N189+N218++N240</f>
        <v>0</v>
      </c>
      <c r="O19" s="125"/>
      <c r="P19" s="124" t="n">
        <f aca="false">P26+P110+P189+P218++P240</f>
        <v>0</v>
      </c>
      <c r="Q19" s="125"/>
      <c r="R19" s="126" t="n">
        <f aca="false">P19*104/100</f>
        <v>0</v>
      </c>
      <c r="S19" s="127"/>
      <c r="T19" s="125"/>
      <c r="U19" s="129"/>
      <c r="V19" s="129"/>
      <c r="W19" s="129"/>
    </row>
    <row r="20" s="130" customFormat="true" ht="21.45" hidden="false" customHeight="true" outlineLevel="0" collapsed="false">
      <c r="A20" s="122"/>
      <c r="B20" s="122"/>
      <c r="C20" s="122" t="s">
        <v>35</v>
      </c>
      <c r="D20" s="132"/>
      <c r="E20" s="123"/>
      <c r="F20" s="124" t="n">
        <f aca="false">SUM(G20:S20)</f>
        <v>0</v>
      </c>
      <c r="G20" s="124" t="n">
        <f aca="false">G27+G111+G190+G219+G241</f>
        <v>0</v>
      </c>
      <c r="H20" s="124" t="n">
        <f aca="false">H27+H111+H190+H219++H241</f>
        <v>0</v>
      </c>
      <c r="I20" s="125"/>
      <c r="J20" s="124" t="n">
        <f aca="false">J27+J111+J190+J219++J241</f>
        <v>0</v>
      </c>
      <c r="K20" s="125"/>
      <c r="L20" s="124" t="n">
        <f aca="false">L27+L111+L190+L219++L241</f>
        <v>0</v>
      </c>
      <c r="M20" s="125"/>
      <c r="N20" s="124" t="n">
        <f aca="false">N27+N111+N190+N219++N241</f>
        <v>0</v>
      </c>
      <c r="O20" s="125"/>
      <c r="P20" s="124" t="n">
        <f aca="false">P27+P111+P190+P219++P241</f>
        <v>0</v>
      </c>
      <c r="Q20" s="125"/>
      <c r="R20" s="126" t="n">
        <f aca="false">P20*104/100</f>
        <v>0</v>
      </c>
      <c r="S20" s="127"/>
      <c r="T20" s="125"/>
      <c r="U20" s="129"/>
      <c r="V20" s="129"/>
      <c r="W20" s="129"/>
    </row>
    <row r="21" s="130" customFormat="true" ht="45" hidden="false" customHeight="true" outlineLevel="0" collapsed="false">
      <c r="A21" s="122"/>
      <c r="B21" s="122"/>
      <c r="C21" s="122" t="s">
        <v>36</v>
      </c>
      <c r="D21" s="132"/>
      <c r="E21" s="123"/>
      <c r="F21" s="124" t="n">
        <f aca="false">SUM(G21:S21)</f>
        <v>0</v>
      </c>
      <c r="G21" s="124" t="n">
        <f aca="false">G28+G112+G191+G220+G242</f>
        <v>0</v>
      </c>
      <c r="H21" s="124" t="n">
        <f aca="false">H28+H112+H191+H220++H242</f>
        <v>0</v>
      </c>
      <c r="I21" s="125"/>
      <c r="J21" s="124" t="n">
        <f aca="false">J28+J112+J191+J220++J242</f>
        <v>0</v>
      </c>
      <c r="K21" s="125"/>
      <c r="L21" s="124" t="n">
        <f aca="false">L28+L112+L191+L220++L242</f>
        <v>0</v>
      </c>
      <c r="M21" s="125"/>
      <c r="N21" s="124" t="n">
        <f aca="false">N28+N112+N191+N220++N242</f>
        <v>0</v>
      </c>
      <c r="O21" s="125"/>
      <c r="P21" s="124" t="n">
        <f aca="false">P28+P112+P191+P220++P242</f>
        <v>0</v>
      </c>
      <c r="Q21" s="125"/>
      <c r="R21" s="126" t="n">
        <f aca="false">P21*104/100</f>
        <v>0</v>
      </c>
      <c r="S21" s="127"/>
      <c r="T21" s="125"/>
      <c r="U21" s="129"/>
      <c r="V21" s="129"/>
      <c r="W21" s="129"/>
    </row>
    <row r="22" s="130" customFormat="true" ht="21.45" hidden="false" customHeight="true" outlineLevel="0" collapsed="false">
      <c r="A22" s="136" t="s">
        <v>206</v>
      </c>
      <c r="B22" s="122" t="s">
        <v>39</v>
      </c>
      <c r="C22" s="122" t="s">
        <v>30</v>
      </c>
      <c r="D22" s="137"/>
      <c r="E22" s="137"/>
      <c r="F22" s="124" t="n">
        <f aca="false">F29+F36+F43+F62+F69+F76+F83+F91+F98</f>
        <v>71053578.2210843</v>
      </c>
      <c r="G22" s="124" t="n">
        <f aca="false">G29+G36+G43+G62+G69+G76+G83+G91+G98</f>
        <v>8906716.48575</v>
      </c>
      <c r="H22" s="124" t="n">
        <f aca="false">H29+H36+H43+H62+H69+H76+H83+H91+H98</f>
        <v>9534518.21738</v>
      </c>
      <c r="I22" s="125" t="n">
        <f aca="false">IFERROR(H22/G22, 0)</f>
        <v>1.0704863271032</v>
      </c>
      <c r="J22" s="124" t="n">
        <f aca="false">SUM(J23:J25)</f>
        <v>10307379.20863</v>
      </c>
      <c r="K22" s="125" t="n">
        <f aca="false">IFERROR(J22/H22, 0)</f>
        <v>1.08105926000972</v>
      </c>
      <c r="L22" s="124" t="n">
        <f aca="false">SUM(L23:L25)</f>
        <v>10399592.84744</v>
      </c>
      <c r="M22" s="125" t="n">
        <f aca="false">IFERROR(L22/J22, 0)</f>
        <v>1.00894637103608</v>
      </c>
      <c r="N22" s="124" t="n">
        <f aca="false">SUM(N23:N25)</f>
        <v>10596777.051</v>
      </c>
      <c r="O22" s="125" t="n">
        <f aca="false">IFERROR(N22/L22, 0)</f>
        <v>1.01896076187334</v>
      </c>
      <c r="P22" s="124" t="n">
        <f aca="false">SUM(P23:P25)</f>
        <v>10445367.403</v>
      </c>
      <c r="Q22" s="125" t="n">
        <f aca="false">IFERROR(P22/N22, 0)</f>
        <v>0.985711726568248</v>
      </c>
      <c r="R22" s="126" t="n">
        <f aca="false">SUM(R23:R25)</f>
        <v>10863182.09912</v>
      </c>
      <c r="S22" s="138"/>
      <c r="T22" s="125" t="n">
        <f aca="false">IFERROR(R22/P22, 0)</f>
        <v>1.04</v>
      </c>
      <c r="U22" s="129"/>
      <c r="V22" s="129"/>
      <c r="W22" s="129"/>
    </row>
    <row r="23" s="130" customFormat="true" ht="33.75" hidden="false" customHeight="true" outlineLevel="0" collapsed="false">
      <c r="A23" s="136"/>
      <c r="B23" s="122"/>
      <c r="C23" s="122" t="s">
        <v>31</v>
      </c>
      <c r="D23" s="123"/>
      <c r="E23" s="123"/>
      <c r="F23" s="126" t="n">
        <f aca="false">F30+F37+F44+F63+F70+F77+F84+F92+F99+F87+F90</f>
        <v>688403.532340118</v>
      </c>
      <c r="G23" s="126" t="n">
        <f aca="false">G30+G37+G44+G63+G70+G77+G84+G92+G99+U5+G87</f>
        <v>241082.12619</v>
      </c>
      <c r="H23" s="126" t="n">
        <f aca="false">H30+H37+H44+H63+H70+H77+H84+H92+H99+H87+H90</f>
        <v>121212.2</v>
      </c>
      <c r="I23" s="125" t="n">
        <f aca="false">IFERROR(H23/G23, 0)</f>
        <v>0.502783851775354</v>
      </c>
      <c r="J23" s="126" t="n">
        <f aca="false">J30+J37+J44+J63+J70+J77+J84+J92+J99</f>
        <v>295100.5</v>
      </c>
      <c r="K23" s="125" t="n">
        <f aca="false">IFERROR(J23/H23, 0)</f>
        <v>2.4345775425246</v>
      </c>
      <c r="L23" s="126" t="n">
        <f aca="false">L30+L37+L44+L63+L70+L77+L84+L92+L99</f>
        <v>19164.7</v>
      </c>
      <c r="M23" s="125" t="n">
        <f aca="false">IFERROR(L23/J23, 0)</f>
        <v>0.0649429601101998</v>
      </c>
      <c r="N23" s="126" t="n">
        <f aca="false">N30+N37+N44+N63+N70+N77+N84+N92+N99</f>
        <v>3891.5</v>
      </c>
      <c r="O23" s="125" t="n">
        <f aca="false">IFERROR(N23/L23, 0)</f>
        <v>0.203055617880791</v>
      </c>
      <c r="P23" s="126" t="n">
        <f aca="false">P30+P37+P44+P63+P70+P77+P84+P92+P99</f>
        <v>3891.5</v>
      </c>
      <c r="Q23" s="125" t="n">
        <f aca="false">IFERROR(P23/N23, 0)</f>
        <v>1</v>
      </c>
      <c r="R23" s="126" t="n">
        <f aca="false">R30+R37+R44+R63+R70+R77+R84+R92+R99</f>
        <v>4047.16</v>
      </c>
      <c r="S23" s="127"/>
      <c r="T23" s="125" t="n">
        <f aca="false">IFERROR(R23/P23, 0)</f>
        <v>1.04</v>
      </c>
      <c r="U23" s="129"/>
      <c r="V23" s="129"/>
      <c r="W23" s="129"/>
    </row>
    <row r="24" s="130" customFormat="true" ht="18.75" hidden="false" customHeight="true" outlineLevel="0" collapsed="false">
      <c r="A24" s="136"/>
      <c r="B24" s="122"/>
      <c r="C24" s="122" t="s">
        <v>32</v>
      </c>
      <c r="D24" s="132"/>
      <c r="E24" s="123"/>
      <c r="F24" s="126" t="n">
        <f aca="false">F31+F38+F45+F64+F71+F78+F85+F93+F100+F51+F57+F88</f>
        <v>70207147.0881222</v>
      </c>
      <c r="G24" s="126" t="n">
        <f aca="false">G31+G38+G45+G64+G71+G78+G85+G93+G100+G51+G57+G88</f>
        <v>8634779.49156</v>
      </c>
      <c r="H24" s="126" t="n">
        <f aca="false">H31+H38+H45+H64+H71+H78+H85+H93+H100+H51+H57+H88</f>
        <v>9331039.13759</v>
      </c>
      <c r="I24" s="125" t="n">
        <f aca="false">IFERROR(H24/G24, 0)</f>
        <v>1.08063432849797</v>
      </c>
      <c r="J24" s="126" t="n">
        <f aca="false">J31+J38+J45+J64+J71+J78+J85+J93+J100+J51+J57+J88</f>
        <v>9967338.29705</v>
      </c>
      <c r="K24" s="125" t="n">
        <f aca="false">IFERROR(J24/H24, 0)</f>
        <v>1.06819167191108</v>
      </c>
      <c r="L24" s="126" t="n">
        <f aca="false">L31+L38+L45+L64+L71+L78+L85+L93+L100+L51+L57+L88</f>
        <v>10380428.14744</v>
      </c>
      <c r="M24" s="125" t="n">
        <f aca="false">IFERROR(L24/J24, 0)</f>
        <v>1.04144434934172</v>
      </c>
      <c r="N24" s="126" t="n">
        <f aca="false">N31+N38+N45+N64+N71+N78+N85+N93+N100+N51+N57+N88</f>
        <v>10592885.551</v>
      </c>
      <c r="O24" s="125" t="n">
        <f aca="false">IFERROR(N24/L24, 0)</f>
        <v>1.02046711373966</v>
      </c>
      <c r="P24" s="126" t="n">
        <f aca="false">P31+P38+P45+P64+P71+P78+P85+P93+P100+P51+P57+P88</f>
        <v>10441475.903</v>
      </c>
      <c r="Q24" s="125" t="n">
        <f aca="false">IFERROR(P24/N24, 0)</f>
        <v>0.98570647749652</v>
      </c>
      <c r="R24" s="126" t="n">
        <f aca="false">R31+R38+R45+R64+R71+R78+R85+R93+R100+R51+R57+R88</f>
        <v>10859134.93912</v>
      </c>
      <c r="S24" s="127" t="n">
        <f aca="false">S31+S38+S45+S64+S71+S78+S85+S93+S100+S51+S57+S88</f>
        <v>0</v>
      </c>
      <c r="T24" s="125" t="n">
        <f aca="false">IFERROR(R24/P24, 0)</f>
        <v>1.04</v>
      </c>
      <c r="U24" s="129"/>
      <c r="V24" s="129"/>
      <c r="W24" s="129"/>
    </row>
    <row r="25" s="130" customFormat="true" ht="28.5" hidden="false" customHeight="false" outlineLevel="0" collapsed="false">
      <c r="A25" s="136"/>
      <c r="B25" s="122"/>
      <c r="C25" s="122" t="s">
        <v>33</v>
      </c>
      <c r="D25" s="132"/>
      <c r="E25" s="123"/>
      <c r="F25" s="126" t="n">
        <f aca="false">F32+F39+F46+F65+F72+F79+F86+F94+F101+F89</f>
        <v>158082.028884061</v>
      </c>
      <c r="G25" s="126" t="n">
        <f aca="false">G32+G39+G46+G65+G72+G79+G86+G94+G89</f>
        <v>30854.868</v>
      </c>
      <c r="H25" s="126" t="n">
        <f aca="false">H32+H39+H46+H65+H72+H79+H86+H94+H101+H89</f>
        <v>82266.87979</v>
      </c>
      <c r="I25" s="125" t="n">
        <f aca="false">IFERROR(H25/G25, 0)</f>
        <v>2.66625285157597</v>
      </c>
      <c r="J25" s="126" t="n">
        <f aca="false">J32+J39+J46+J65+J72+J79+J86+J94+J101</f>
        <v>44940.41158</v>
      </c>
      <c r="K25" s="125" t="n">
        <f aca="false">IFERROR(J25/H25, 0)</f>
        <v>0.546275873045361</v>
      </c>
      <c r="L25" s="126" t="n">
        <f aca="false">L32+L39+L46+L65+L72+L79+L86+L94+L101</f>
        <v>0</v>
      </c>
      <c r="M25" s="125"/>
      <c r="N25" s="126" t="n">
        <f aca="false">N32+N39+N46+N65+N72+N79+N86+N94+N101</f>
        <v>0</v>
      </c>
      <c r="O25" s="125"/>
      <c r="P25" s="126" t="n">
        <f aca="false">P32+P39+P46+P65+P72+P79+P86+P94+P101</f>
        <v>0</v>
      </c>
      <c r="Q25" s="125"/>
      <c r="R25" s="126" t="n">
        <f aca="false">P25*104/100</f>
        <v>0</v>
      </c>
      <c r="S25" s="127" t="n">
        <f aca="false">S32+S39+S46+S65+S72+S79+S86+S94+S101</f>
        <v>0</v>
      </c>
      <c r="T25" s="125"/>
      <c r="U25" s="129"/>
      <c r="V25" s="129"/>
      <c r="W25" s="129"/>
    </row>
    <row r="26" s="130" customFormat="true" ht="29.25" hidden="false" customHeight="true" outlineLevel="0" collapsed="false">
      <c r="A26" s="136"/>
      <c r="B26" s="122"/>
      <c r="C26" s="122" t="s">
        <v>34</v>
      </c>
      <c r="D26" s="132"/>
      <c r="E26" s="123"/>
      <c r="F26" s="139"/>
      <c r="G26" s="126"/>
      <c r="H26" s="126"/>
      <c r="I26" s="125"/>
      <c r="J26" s="126"/>
      <c r="K26" s="125"/>
      <c r="L26" s="126"/>
      <c r="M26" s="125"/>
      <c r="N26" s="126"/>
      <c r="O26" s="125"/>
      <c r="P26" s="126"/>
      <c r="Q26" s="125"/>
      <c r="R26" s="126" t="n">
        <f aca="false">P26*104/100</f>
        <v>0</v>
      </c>
      <c r="S26" s="127"/>
      <c r="T26" s="125"/>
      <c r="U26" s="129"/>
      <c r="V26" s="129"/>
      <c r="W26" s="129"/>
    </row>
    <row r="27" s="130" customFormat="true" ht="18" hidden="false" customHeight="true" outlineLevel="0" collapsed="false">
      <c r="A27" s="136"/>
      <c r="B27" s="122"/>
      <c r="C27" s="122" t="s">
        <v>35</v>
      </c>
      <c r="D27" s="132"/>
      <c r="E27" s="123"/>
      <c r="F27" s="139"/>
      <c r="G27" s="126"/>
      <c r="H27" s="126"/>
      <c r="I27" s="125"/>
      <c r="J27" s="126"/>
      <c r="K27" s="125"/>
      <c r="L27" s="126"/>
      <c r="M27" s="125"/>
      <c r="N27" s="126"/>
      <c r="O27" s="125"/>
      <c r="P27" s="126"/>
      <c r="Q27" s="125"/>
      <c r="R27" s="126" t="n">
        <f aca="false">P27*104/100</f>
        <v>0</v>
      </c>
      <c r="S27" s="127"/>
      <c r="T27" s="125"/>
      <c r="U27" s="129"/>
      <c r="V27" s="129"/>
      <c r="W27" s="129"/>
    </row>
    <row r="28" s="130" customFormat="true" ht="53.7" hidden="false" customHeight="true" outlineLevel="0" collapsed="false">
      <c r="A28" s="136"/>
      <c r="B28" s="122"/>
      <c r="C28" s="122" t="s">
        <v>36</v>
      </c>
      <c r="D28" s="116"/>
      <c r="E28" s="115"/>
      <c r="F28" s="140"/>
      <c r="G28" s="140"/>
      <c r="H28" s="140"/>
      <c r="I28" s="125"/>
      <c r="J28" s="140"/>
      <c r="K28" s="125"/>
      <c r="L28" s="140"/>
      <c r="M28" s="125"/>
      <c r="N28" s="140"/>
      <c r="O28" s="125"/>
      <c r="P28" s="140"/>
      <c r="Q28" s="125"/>
      <c r="R28" s="126" t="n">
        <f aca="false">P28*104/100</f>
        <v>0</v>
      </c>
      <c r="S28" s="141"/>
      <c r="T28" s="125"/>
      <c r="U28" s="135"/>
      <c r="V28" s="135"/>
      <c r="W28" s="135" t="n">
        <f aca="false">J25-J86</f>
        <v>43414.87586</v>
      </c>
    </row>
    <row r="29" s="130" customFormat="true" ht="22.95" hidden="false" customHeight="true" outlineLevel="0" collapsed="false">
      <c r="A29" s="112" t="s">
        <v>207</v>
      </c>
      <c r="B29" s="142" t="s">
        <v>41</v>
      </c>
      <c r="C29" s="122" t="s">
        <v>30</v>
      </c>
      <c r="D29" s="116" t="s">
        <v>42</v>
      </c>
      <c r="E29" s="116" t="s">
        <v>43</v>
      </c>
      <c r="F29" s="143" t="n">
        <f aca="false">SUM(G29:S29)</f>
        <v>15820322.8877223</v>
      </c>
      <c r="G29" s="140" t="n">
        <f aca="false">SUM(G30:G35)</f>
        <v>2084482.66089</v>
      </c>
      <c r="H29" s="144" t="n">
        <f aca="false">SUM(H30:H35)</f>
        <v>2113668.50652</v>
      </c>
      <c r="I29" s="125" t="n">
        <f aca="false">IFERROR(H29/G29, 0)</f>
        <v>1.01400148160385</v>
      </c>
      <c r="J29" s="144" t="n">
        <f aca="false">SUM(J30:J35)</f>
        <v>2242962.29095</v>
      </c>
      <c r="K29" s="125" t="n">
        <f aca="false">IFERROR(J29/H29, 0)</f>
        <v>1.06117032260791</v>
      </c>
      <c r="L29" s="144" t="n">
        <f aca="false">SUM(L30:L35)</f>
        <v>2292932.48728</v>
      </c>
      <c r="M29" s="125" t="n">
        <f aca="false">IFERROR(L29/J29, 0)</f>
        <v>1.02227866091714</v>
      </c>
      <c r="N29" s="140" t="n">
        <f aca="false">SUM(N30:N35)</f>
        <v>2330886.58</v>
      </c>
      <c r="O29" s="125" t="n">
        <f aca="false">IFERROR(N29/L29, 0)</f>
        <v>1.01655264292802</v>
      </c>
      <c r="P29" s="140" t="n">
        <f aca="false">SUM(P30:P35)</f>
        <v>2331071.2</v>
      </c>
      <c r="Q29" s="125" t="n">
        <f aca="false">IFERROR(P29/N29, 0)</f>
        <v>1.00007920591314</v>
      </c>
      <c r="R29" s="140" t="n">
        <f aca="false">SUM(R30:R35)</f>
        <v>2424314.048</v>
      </c>
      <c r="S29" s="141" t="n">
        <f aca="false">SUM(S30:S35)</f>
        <v>0</v>
      </c>
      <c r="T29" s="125" t="n">
        <f aca="false">IFERROR(R29/P29, 0)</f>
        <v>1.04</v>
      </c>
      <c r="U29" s="129"/>
      <c r="V29" s="129"/>
      <c r="W29" s="129"/>
    </row>
    <row r="30" s="130" customFormat="true" ht="30.75" hidden="false" customHeight="true" outlineLevel="0" collapsed="false">
      <c r="A30" s="112"/>
      <c r="B30" s="142"/>
      <c r="C30" s="122" t="s">
        <v>31</v>
      </c>
      <c r="D30" s="115"/>
      <c r="E30" s="115"/>
      <c r="F30" s="143"/>
      <c r="G30" s="140"/>
      <c r="H30" s="144"/>
      <c r="I30" s="125"/>
      <c r="J30" s="144"/>
      <c r="K30" s="125"/>
      <c r="L30" s="144"/>
      <c r="M30" s="125"/>
      <c r="N30" s="140"/>
      <c r="O30" s="125"/>
      <c r="P30" s="140"/>
      <c r="Q30" s="125"/>
      <c r="R30" s="126" t="n">
        <f aca="false">P30*104/100</f>
        <v>0</v>
      </c>
      <c r="S30" s="141"/>
      <c r="T30" s="125"/>
      <c r="U30" s="129"/>
      <c r="V30" s="129"/>
      <c r="W30" s="129"/>
    </row>
    <row r="31" s="130" customFormat="true" ht="25.5" hidden="false" customHeight="true" outlineLevel="0" collapsed="false">
      <c r="A31" s="112"/>
      <c r="B31" s="142"/>
      <c r="C31" s="122" t="s">
        <v>32</v>
      </c>
      <c r="D31" s="145"/>
      <c r="E31" s="145"/>
      <c r="F31" s="143" t="n">
        <f aca="false">SUM(G31:S31)</f>
        <v>15743602.8050349</v>
      </c>
      <c r="G31" s="140" t="n">
        <v>2067565.56605</v>
      </c>
      <c r="H31" s="144" t="n">
        <v>2079172.03076</v>
      </c>
      <c r="I31" s="125" t="n">
        <f aca="false">IFERROR(H31/G31, 0)</f>
        <v>1.00561358967308</v>
      </c>
      <c r="J31" s="144" t="n">
        <v>2217655.77015</v>
      </c>
      <c r="K31" s="125" t="n">
        <f aca="false">IFERROR(J31/H31, 0)</f>
        <v>1.06660523388215</v>
      </c>
      <c r="L31" s="144" t="n">
        <v>2292932.48728</v>
      </c>
      <c r="M31" s="125" t="n">
        <f aca="false">IFERROR(L31/J31, 0)</f>
        <v>1.03394427491554</v>
      </c>
      <c r="N31" s="140" t="n">
        <v>2330886.58</v>
      </c>
      <c r="O31" s="125" t="n">
        <f aca="false">IFERROR(N31/L31, 0)</f>
        <v>1.01655264292802</v>
      </c>
      <c r="P31" s="140" t="n">
        <v>2331071.2</v>
      </c>
      <c r="Q31" s="125" t="n">
        <f aca="false">IFERROR(P31/N31, 0)</f>
        <v>1.00007920591314</v>
      </c>
      <c r="R31" s="126" t="n">
        <f aca="false">P31*104/100</f>
        <v>2424314.048</v>
      </c>
      <c r="S31" s="141"/>
      <c r="T31" s="125" t="n">
        <f aca="false">IFERROR(R31/P31, 0)</f>
        <v>1.04</v>
      </c>
      <c r="U31" s="129"/>
      <c r="V31" s="129"/>
      <c r="W31" s="129"/>
    </row>
    <row r="32" s="130" customFormat="true" ht="23.25" hidden="false" customHeight="true" outlineLevel="0" collapsed="false">
      <c r="A32" s="112"/>
      <c r="B32" s="142"/>
      <c r="C32" s="122" t="s">
        <v>33</v>
      </c>
      <c r="D32" s="116"/>
      <c r="E32" s="115"/>
      <c r="F32" s="143" t="n">
        <f aca="false">SUM(G32:S32)</f>
        <v>76722.8641462055</v>
      </c>
      <c r="G32" s="140" t="n">
        <v>16917.09484</v>
      </c>
      <c r="H32" s="140" t="n">
        <v>34496.47576</v>
      </c>
      <c r="I32" s="125" t="n">
        <f aca="false">IFERROR(H32/G32, 0)</f>
        <v>2.03914892517089</v>
      </c>
      <c r="J32" s="140" t="n">
        <v>25306.5208</v>
      </c>
      <c r="K32" s="125" t="n">
        <f aca="false">IFERROR(J32/H32, 0)</f>
        <v>0.733597280373315</v>
      </c>
      <c r="L32" s="140"/>
      <c r="M32" s="125"/>
      <c r="N32" s="140"/>
      <c r="O32" s="125"/>
      <c r="P32" s="140"/>
      <c r="Q32" s="125"/>
      <c r="R32" s="126" t="n">
        <f aca="false">P32*104/100</f>
        <v>0</v>
      </c>
      <c r="S32" s="141"/>
      <c r="T32" s="125"/>
      <c r="U32" s="129"/>
      <c r="V32" s="129"/>
      <c r="W32" s="129"/>
    </row>
    <row r="33" s="130" customFormat="true" ht="30.45" hidden="false" customHeight="true" outlineLevel="0" collapsed="false">
      <c r="A33" s="112"/>
      <c r="B33" s="142"/>
      <c r="C33" s="122" t="s">
        <v>34</v>
      </c>
      <c r="D33" s="116"/>
      <c r="E33" s="116"/>
      <c r="F33" s="143"/>
      <c r="G33" s="140"/>
      <c r="H33" s="140"/>
      <c r="I33" s="125"/>
      <c r="J33" s="140"/>
      <c r="K33" s="125"/>
      <c r="L33" s="140"/>
      <c r="M33" s="125"/>
      <c r="N33" s="140"/>
      <c r="O33" s="125"/>
      <c r="P33" s="140"/>
      <c r="Q33" s="125"/>
      <c r="R33" s="126" t="n">
        <f aca="false">P33*104/100</f>
        <v>0</v>
      </c>
      <c r="S33" s="141"/>
      <c r="T33" s="125"/>
      <c r="U33" s="129"/>
      <c r="V33" s="129"/>
      <c r="W33" s="129"/>
    </row>
    <row r="34" s="130" customFormat="true" ht="18" hidden="false" customHeight="true" outlineLevel="0" collapsed="false">
      <c r="A34" s="112"/>
      <c r="B34" s="142"/>
      <c r="C34" s="122" t="s">
        <v>35</v>
      </c>
      <c r="D34" s="116"/>
      <c r="E34" s="116"/>
      <c r="F34" s="143"/>
      <c r="G34" s="140"/>
      <c r="H34" s="140"/>
      <c r="I34" s="125"/>
      <c r="J34" s="140"/>
      <c r="K34" s="125"/>
      <c r="L34" s="140"/>
      <c r="M34" s="125"/>
      <c r="N34" s="140"/>
      <c r="O34" s="125"/>
      <c r="P34" s="140"/>
      <c r="Q34" s="125"/>
      <c r="R34" s="126" t="n">
        <f aca="false">P34*104/100</f>
        <v>0</v>
      </c>
      <c r="S34" s="141"/>
      <c r="T34" s="125"/>
      <c r="U34" s="129"/>
      <c r="V34" s="129"/>
      <c r="W34" s="129"/>
    </row>
    <row r="35" s="130" customFormat="true" ht="42.75" hidden="false" customHeight="false" outlineLevel="0" collapsed="false">
      <c r="A35" s="112"/>
      <c r="B35" s="142"/>
      <c r="C35" s="122" t="s">
        <v>36</v>
      </c>
      <c r="D35" s="116"/>
      <c r="E35" s="116"/>
      <c r="F35" s="143"/>
      <c r="G35" s="140"/>
      <c r="H35" s="140"/>
      <c r="I35" s="125"/>
      <c r="J35" s="140"/>
      <c r="K35" s="125"/>
      <c r="L35" s="140"/>
      <c r="M35" s="125"/>
      <c r="N35" s="140"/>
      <c r="O35" s="125"/>
      <c r="P35" s="140"/>
      <c r="Q35" s="125"/>
      <c r="R35" s="126" t="n">
        <f aca="false">P35*104/100</f>
        <v>0</v>
      </c>
      <c r="S35" s="141"/>
      <c r="T35" s="125"/>
      <c r="U35" s="129"/>
      <c r="V35" s="129"/>
      <c r="W35" s="129"/>
    </row>
    <row r="36" s="130" customFormat="true" ht="18.75" hidden="false" customHeight="true" outlineLevel="0" collapsed="false">
      <c r="A36" s="112" t="s">
        <v>208</v>
      </c>
      <c r="B36" s="142" t="s">
        <v>45</v>
      </c>
      <c r="C36" s="122" t="s">
        <v>30</v>
      </c>
      <c r="D36" s="116" t="s">
        <v>42</v>
      </c>
      <c r="E36" s="116" t="s">
        <v>43</v>
      </c>
      <c r="F36" s="140" t="n">
        <f aca="false">G36+H36+J36+R36+S36+L36+N36+P36</f>
        <v>39892986.24614</v>
      </c>
      <c r="G36" s="140" t="n">
        <f aca="false">SUM(G37:G42)</f>
        <v>5181796.25213</v>
      </c>
      <c r="H36" s="140" t="n">
        <f aca="false">SUM(H37:H42)</f>
        <v>5427764.90282</v>
      </c>
      <c r="I36" s="125" t="n">
        <f aca="false">IFERROR(H36/G36, 0)</f>
        <v>1.0474678352297</v>
      </c>
      <c r="J36" s="140" t="n">
        <f aca="false">SUM(J37:J42)</f>
        <v>5551026.77549</v>
      </c>
      <c r="K36" s="125" t="n">
        <f aca="false">IFERROR(J36/H36, 0)</f>
        <v>1.02270950840298</v>
      </c>
      <c r="L36" s="140" t="n">
        <f aca="false">SUM(L37:L42)</f>
        <v>5895670.56354</v>
      </c>
      <c r="M36" s="125" t="n">
        <f aca="false">IFERROR(L36/J36, 0)</f>
        <v>1.06208649354237</v>
      </c>
      <c r="N36" s="140" t="n">
        <f aca="false">SUM(N37:N42)</f>
        <v>5864905.991</v>
      </c>
      <c r="O36" s="125" t="n">
        <f aca="false">IFERROR(N36/L36, 0)</f>
        <v>0.994781836568303</v>
      </c>
      <c r="P36" s="140" t="n">
        <f aca="false">SUM(P37:P42)</f>
        <v>5868540.079</v>
      </c>
      <c r="Q36" s="125" t="n">
        <f aca="false">IFERROR(P36/N36, 0)</f>
        <v>1.00061963277938</v>
      </c>
      <c r="R36" s="140" t="n">
        <f aca="false">SUM(R37:R42)</f>
        <v>6103281.68216</v>
      </c>
      <c r="S36" s="141" t="n">
        <f aca="false">SUM(S37:S42)</f>
        <v>0</v>
      </c>
      <c r="T36" s="125" t="n">
        <f aca="false">IFERROR(R36/P36, 0)</f>
        <v>1.04</v>
      </c>
      <c r="U36" s="129"/>
      <c r="V36" s="129"/>
      <c r="W36" s="129"/>
    </row>
    <row r="37" s="130" customFormat="true" ht="29.25" hidden="false" customHeight="true" outlineLevel="0" collapsed="false">
      <c r="A37" s="112"/>
      <c r="B37" s="142"/>
      <c r="C37" s="122" t="s">
        <v>31</v>
      </c>
      <c r="D37" s="116"/>
      <c r="E37" s="116"/>
      <c r="F37" s="140"/>
      <c r="G37" s="140"/>
      <c r="H37" s="140"/>
      <c r="I37" s="125"/>
      <c r="J37" s="140"/>
      <c r="K37" s="125"/>
      <c r="L37" s="140"/>
      <c r="M37" s="125"/>
      <c r="N37" s="140"/>
      <c r="O37" s="125"/>
      <c r="P37" s="140"/>
      <c r="Q37" s="125"/>
      <c r="R37" s="126" t="n">
        <f aca="false">P37*104/100</f>
        <v>0</v>
      </c>
      <c r="S37" s="141"/>
      <c r="T37" s="125"/>
      <c r="U37" s="129"/>
      <c r="V37" s="129"/>
      <c r="W37" s="129"/>
    </row>
    <row r="38" s="130" customFormat="true" ht="21.45" hidden="false" customHeight="true" outlineLevel="0" collapsed="false">
      <c r="A38" s="112"/>
      <c r="B38" s="142"/>
      <c r="C38" s="122" t="s">
        <v>32</v>
      </c>
      <c r="D38" s="116"/>
      <c r="E38" s="116"/>
      <c r="F38" s="140" t="n">
        <f aca="false">SUM(G38:R38)</f>
        <v>39850246.9071602</v>
      </c>
      <c r="G38" s="140" t="n">
        <v>5178303.52713</v>
      </c>
      <c r="H38" s="140" t="n">
        <v>5394376.26898</v>
      </c>
      <c r="I38" s="125" t="n">
        <f aca="false">IFERROR(H38/G38, 0)</f>
        <v>1.04172655015643</v>
      </c>
      <c r="J38" s="140" t="n">
        <v>5545163.66706</v>
      </c>
      <c r="K38" s="125" t="n">
        <f aca="false">IFERROR(J38/H38, 0)</f>
        <v>1.02795270306728</v>
      </c>
      <c r="L38" s="140" t="n">
        <v>5895670.56354</v>
      </c>
      <c r="M38" s="125" t="n">
        <f aca="false">IFERROR(L38/J38, 0)</f>
        <v>1.06320947721744</v>
      </c>
      <c r="N38" s="140" t="n">
        <v>5864905.991</v>
      </c>
      <c r="O38" s="125" t="n">
        <f aca="false">IFERROR(N38/L38, 0)</f>
        <v>0.994781836568303</v>
      </c>
      <c r="P38" s="140" t="n">
        <v>5868540.079</v>
      </c>
      <c r="Q38" s="125" t="n">
        <f aca="false">IFERROR(P38/N38, 0)</f>
        <v>1.00061963277938</v>
      </c>
      <c r="R38" s="126" t="n">
        <f aca="false">P38*104/100</f>
        <v>6103281.68216</v>
      </c>
      <c r="S38" s="141"/>
      <c r="T38" s="125" t="n">
        <f aca="false">IFERROR(R38/P38, 0)</f>
        <v>1.04</v>
      </c>
      <c r="U38" s="129"/>
      <c r="V38" s="129"/>
      <c r="W38" s="129"/>
    </row>
    <row r="39" s="130" customFormat="true" ht="28.5" hidden="false" customHeight="false" outlineLevel="0" collapsed="false">
      <c r="A39" s="112"/>
      <c r="B39" s="142"/>
      <c r="C39" s="122" t="s">
        <v>33</v>
      </c>
      <c r="D39" s="116"/>
      <c r="E39" s="116"/>
      <c r="F39" s="140" t="n">
        <f aca="false">SUM(G39:R39)</f>
        <v>42754.2023516567</v>
      </c>
      <c r="G39" s="140" t="n">
        <v>3492.725</v>
      </c>
      <c r="H39" s="140" t="n">
        <v>33388.63384</v>
      </c>
      <c r="I39" s="125" t="n">
        <f aca="false">IFERROR(H39/G39, 0)</f>
        <v>9.55947973001024</v>
      </c>
      <c r="J39" s="140" t="n">
        <v>5863.10843</v>
      </c>
      <c r="K39" s="125" t="n">
        <f aca="false">IFERROR(J39/H39, 0)</f>
        <v>0.175601926634564</v>
      </c>
      <c r="L39" s="140"/>
      <c r="M39" s="125"/>
      <c r="N39" s="140"/>
      <c r="O39" s="125"/>
      <c r="P39" s="140"/>
      <c r="Q39" s="125"/>
      <c r="R39" s="126" t="n">
        <f aca="false">P39*104/100</f>
        <v>0</v>
      </c>
      <c r="S39" s="141"/>
      <c r="T39" s="125"/>
      <c r="U39" s="129"/>
      <c r="V39" s="129"/>
      <c r="W39" s="129"/>
    </row>
    <row r="40" s="130" customFormat="true" ht="17.7" hidden="false" customHeight="true" outlineLevel="0" collapsed="false">
      <c r="A40" s="112"/>
      <c r="B40" s="142"/>
      <c r="C40" s="122" t="s">
        <v>34</v>
      </c>
      <c r="D40" s="116"/>
      <c r="E40" s="116"/>
      <c r="F40" s="140"/>
      <c r="G40" s="140"/>
      <c r="H40" s="140"/>
      <c r="I40" s="125"/>
      <c r="J40" s="140"/>
      <c r="K40" s="125"/>
      <c r="L40" s="140"/>
      <c r="M40" s="125"/>
      <c r="N40" s="140"/>
      <c r="O40" s="125"/>
      <c r="P40" s="140"/>
      <c r="Q40" s="125"/>
      <c r="R40" s="126" t="n">
        <f aca="false">P40*104/100</f>
        <v>0</v>
      </c>
      <c r="S40" s="141"/>
      <c r="T40" s="125"/>
      <c r="U40" s="129"/>
      <c r="V40" s="129"/>
      <c r="W40" s="129"/>
    </row>
    <row r="41" s="130" customFormat="true" ht="16.5" hidden="false" customHeight="true" outlineLevel="0" collapsed="false">
      <c r="A41" s="112"/>
      <c r="B41" s="142"/>
      <c r="C41" s="122" t="s">
        <v>35</v>
      </c>
      <c r="D41" s="116"/>
      <c r="E41" s="116"/>
      <c r="F41" s="140"/>
      <c r="G41" s="140"/>
      <c r="H41" s="140"/>
      <c r="I41" s="125"/>
      <c r="J41" s="140"/>
      <c r="K41" s="125"/>
      <c r="L41" s="140"/>
      <c r="M41" s="125"/>
      <c r="N41" s="140"/>
      <c r="O41" s="125"/>
      <c r="P41" s="140"/>
      <c r="Q41" s="125"/>
      <c r="R41" s="126" t="n">
        <f aca="false">P41*104/100</f>
        <v>0</v>
      </c>
      <c r="S41" s="141"/>
      <c r="T41" s="125"/>
      <c r="U41" s="129"/>
      <c r="V41" s="129"/>
      <c r="W41" s="129"/>
    </row>
    <row r="42" s="130" customFormat="true" ht="36.75" hidden="false" customHeight="true" outlineLevel="0" collapsed="false">
      <c r="A42" s="112"/>
      <c r="B42" s="142"/>
      <c r="C42" s="122" t="s">
        <v>36</v>
      </c>
      <c r="D42" s="116"/>
      <c r="E42" s="116"/>
      <c r="F42" s="140"/>
      <c r="G42" s="140"/>
      <c r="H42" s="140"/>
      <c r="I42" s="125"/>
      <c r="J42" s="140"/>
      <c r="K42" s="125"/>
      <c r="L42" s="140"/>
      <c r="M42" s="125"/>
      <c r="N42" s="140"/>
      <c r="O42" s="125"/>
      <c r="P42" s="140"/>
      <c r="Q42" s="125"/>
      <c r="R42" s="126" t="n">
        <f aca="false">P42*104/100</f>
        <v>0</v>
      </c>
      <c r="S42" s="141"/>
      <c r="T42" s="125"/>
      <c r="U42" s="129"/>
      <c r="V42" s="129"/>
      <c r="W42" s="129"/>
    </row>
    <row r="43" s="130" customFormat="true" ht="15" hidden="false" customHeight="true" outlineLevel="0" collapsed="false">
      <c r="A43" s="112" t="s">
        <v>209</v>
      </c>
      <c r="B43" s="142" t="s">
        <v>210</v>
      </c>
      <c r="C43" s="122" t="s">
        <v>30</v>
      </c>
      <c r="D43" s="116"/>
      <c r="E43" s="116"/>
      <c r="F43" s="140" t="n">
        <f aca="false">SUM(G43:S43)</f>
        <v>7232453.50495066</v>
      </c>
      <c r="G43" s="140" t="n">
        <f aca="false">SUM(G44:G59)</f>
        <v>849095.61717</v>
      </c>
      <c r="H43" s="140" t="n">
        <f aca="false">SUM(H44:H59)</f>
        <v>939381.95628</v>
      </c>
      <c r="I43" s="125" t="n">
        <f aca="false">IFERROR(H43/G43, 0)</f>
        <v>1.10633235796331</v>
      </c>
      <c r="J43" s="140" t="n">
        <f aca="false">SUM(J44:J59)</f>
        <v>1006041.84872</v>
      </c>
      <c r="K43" s="125" t="n">
        <f aca="false">IFERROR(J43/H43, 0)</f>
        <v>1.07096143586149</v>
      </c>
      <c r="L43" s="140" t="n">
        <f aca="false">SUM(L44:L59)</f>
        <v>1109602.61955</v>
      </c>
      <c r="M43" s="125" t="n">
        <f aca="false">IFERROR(L43/J43, 0)</f>
        <v>1.10293882999178</v>
      </c>
      <c r="N43" s="140" t="n">
        <f aca="false">SUM(N44:N59)</f>
        <v>1092556.155</v>
      </c>
      <c r="O43" s="125" t="n">
        <f aca="false">IFERROR(N43/L43, 0)</f>
        <v>0.984637324885811</v>
      </c>
      <c r="P43" s="140" t="n">
        <f aca="false">SUM(P44:P59)</f>
        <v>1095965.706</v>
      </c>
      <c r="Q43" s="125" t="n">
        <f aca="false">IFERROR(P43/N43, 0)</f>
        <v>1.00312071007462</v>
      </c>
      <c r="R43" s="140" t="n">
        <f aca="false">SUM(R44:R59)</f>
        <v>1139804.33424</v>
      </c>
      <c r="S43" s="141"/>
      <c r="T43" s="125" t="n">
        <f aca="false">IFERROR(R43/P43, 0)</f>
        <v>1.04</v>
      </c>
      <c r="U43" s="129"/>
      <c r="V43" s="129"/>
      <c r="W43" s="129"/>
    </row>
    <row r="44" s="130" customFormat="true" ht="32.25" hidden="false" customHeight="true" outlineLevel="0" collapsed="false">
      <c r="A44" s="112"/>
      <c r="B44" s="142"/>
      <c r="C44" s="122" t="s">
        <v>31</v>
      </c>
      <c r="D44" s="116" t="s">
        <v>42</v>
      </c>
      <c r="E44" s="116" t="s">
        <v>43</v>
      </c>
      <c r="F44" s="140" t="n">
        <f aca="false">SUM(G44:R44)</f>
        <v>32437.9952305166</v>
      </c>
      <c r="G44" s="140" t="n">
        <v>7626.4</v>
      </c>
      <c r="H44" s="140" t="n">
        <v>5274</v>
      </c>
      <c r="I44" s="125" t="n">
        <f aca="false">IFERROR(H44/G44, 0)</f>
        <v>0.691545158921641</v>
      </c>
      <c r="J44" s="140" t="n">
        <v>3811.5</v>
      </c>
      <c r="K44" s="125" t="n">
        <f aca="false">IFERROR(J44/H44, 0)</f>
        <v>0.722696245733788</v>
      </c>
      <c r="L44" s="140" t="n">
        <v>3891.5</v>
      </c>
      <c r="M44" s="125" t="n">
        <f aca="false">IFERROR(L44/J44, 0)</f>
        <v>1.0209891118982</v>
      </c>
      <c r="N44" s="140" t="n">
        <v>3891.5</v>
      </c>
      <c r="O44" s="125" t="n">
        <f aca="false">IFERROR(N44/L44, 0)</f>
        <v>1</v>
      </c>
      <c r="P44" s="140" t="n">
        <v>3891.5</v>
      </c>
      <c r="Q44" s="125" t="n">
        <f aca="false">IFERROR(P44/N44, 0)</f>
        <v>1</v>
      </c>
      <c r="R44" s="126" t="n">
        <f aca="false">P44*104/100</f>
        <v>4047.16</v>
      </c>
      <c r="S44" s="141"/>
      <c r="T44" s="125" t="n">
        <f aca="false">IFERROR(R44/P44, 0)</f>
        <v>1.04</v>
      </c>
      <c r="U44" s="129"/>
      <c r="V44" s="129"/>
      <c r="W44" s="129"/>
    </row>
    <row r="45" s="130" customFormat="true" ht="27" hidden="false" customHeight="true" outlineLevel="0" collapsed="false">
      <c r="A45" s="112"/>
      <c r="B45" s="142"/>
      <c r="C45" s="122" t="s">
        <v>32</v>
      </c>
      <c r="D45" s="116" t="s">
        <v>42</v>
      </c>
      <c r="E45" s="116" t="s">
        <v>43</v>
      </c>
      <c r="F45" s="140" t="n">
        <f aca="false">SUM(G45:S45)</f>
        <v>7147929.75029096</v>
      </c>
      <c r="G45" s="140" t="n">
        <f aca="false">841369.21717-8170</f>
        <v>833199.21717</v>
      </c>
      <c r="H45" s="140" t="n">
        <f aca="false">934007.95628-H57</f>
        <v>927307.95628</v>
      </c>
      <c r="I45" s="125" t="n">
        <f aca="false">IFERROR(H45/G45, 0)</f>
        <v>1.1129486648219</v>
      </c>
      <c r="J45" s="140" t="n">
        <v>994430.34872</v>
      </c>
      <c r="K45" s="125" t="n">
        <f aca="false">IFERROR(J45/H45, 0)</f>
        <v>1.07238414378463</v>
      </c>
      <c r="L45" s="140" t="n">
        <v>1097711.11955</v>
      </c>
      <c r="M45" s="125" t="n">
        <f aca="false">IFERROR(L45/J45, 0)</f>
        <v>1.10385923052624</v>
      </c>
      <c r="N45" s="140" t="n">
        <f aca="false">1092556.155-N44-N57</f>
        <v>1081711.925</v>
      </c>
      <c r="O45" s="125" t="n">
        <f aca="false">IFERROR(N45/L45, 0)</f>
        <v>0.985424949911632</v>
      </c>
      <c r="P45" s="140" t="n">
        <f aca="false">1095965.706-P44-P57</f>
        <v>1085080.346</v>
      </c>
      <c r="Q45" s="125" t="n">
        <f aca="false">IFERROR(P45/N45, 0)</f>
        <v>1.00311397232678</v>
      </c>
      <c r="R45" s="126" t="n">
        <f aca="false">P45*104/100</f>
        <v>1128483.55984</v>
      </c>
      <c r="S45" s="141"/>
      <c r="T45" s="125" t="n">
        <f aca="false">IFERROR(R45/P45, 0)</f>
        <v>1.04</v>
      </c>
      <c r="U45" s="135" t="n">
        <f aca="false">J45*U15</f>
        <v>1046140.72685344</v>
      </c>
      <c r="V45" s="129"/>
      <c r="W45" s="129"/>
    </row>
    <row r="46" s="130" customFormat="true" ht="28.5" hidden="false" customHeight="false" outlineLevel="0" collapsed="false">
      <c r="A46" s="112"/>
      <c r="B46" s="142"/>
      <c r="C46" s="122" t="s">
        <v>33</v>
      </c>
      <c r="D46" s="116" t="s">
        <v>42</v>
      </c>
      <c r="E46" s="116" t="s">
        <v>43</v>
      </c>
      <c r="F46" s="140" t="n">
        <f aca="false">SUM(G46:S46)</f>
        <v>302</v>
      </c>
      <c r="G46" s="140" t="n">
        <f aca="false">100</f>
        <v>100</v>
      </c>
      <c r="H46" s="140" t="n">
        <v>100</v>
      </c>
      <c r="I46" s="125" t="n">
        <f aca="false">IFERROR(H46/G46, 0)</f>
        <v>1</v>
      </c>
      <c r="J46" s="140" t="n">
        <v>100</v>
      </c>
      <c r="K46" s="125" t="n">
        <f aca="false">IFERROR(J46/H46, 0)</f>
        <v>1</v>
      </c>
      <c r="L46" s="140"/>
      <c r="M46" s="125"/>
      <c r="N46" s="140"/>
      <c r="O46" s="125"/>
      <c r="P46" s="140"/>
      <c r="Q46" s="125"/>
      <c r="R46" s="126"/>
      <c r="S46" s="141"/>
      <c r="T46" s="125"/>
      <c r="U46" s="129"/>
      <c r="V46" s="129"/>
      <c r="W46" s="129"/>
    </row>
    <row r="47" s="130" customFormat="true" ht="33" hidden="false" customHeight="true" outlineLevel="0" collapsed="false">
      <c r="A47" s="112"/>
      <c r="B47" s="142"/>
      <c r="C47" s="122" t="s">
        <v>34</v>
      </c>
      <c r="D47" s="116"/>
      <c r="E47" s="116"/>
      <c r="F47" s="140"/>
      <c r="G47" s="140"/>
      <c r="H47" s="140"/>
      <c r="I47" s="125"/>
      <c r="J47" s="140"/>
      <c r="K47" s="125"/>
      <c r="L47" s="140"/>
      <c r="M47" s="125"/>
      <c r="N47" s="140"/>
      <c r="O47" s="125"/>
      <c r="P47" s="140"/>
      <c r="Q47" s="125"/>
      <c r="R47" s="126"/>
      <c r="S47" s="141"/>
      <c r="T47" s="125"/>
      <c r="U47" s="129"/>
      <c r="V47" s="129"/>
      <c r="W47" s="129"/>
    </row>
    <row r="48" s="130" customFormat="true" ht="18.75" hidden="false" customHeight="true" outlineLevel="0" collapsed="false">
      <c r="A48" s="112"/>
      <c r="B48" s="142"/>
      <c r="C48" s="122" t="s">
        <v>35</v>
      </c>
      <c r="D48" s="116"/>
      <c r="E48" s="116"/>
      <c r="F48" s="140"/>
      <c r="G48" s="140"/>
      <c r="H48" s="140"/>
      <c r="I48" s="125"/>
      <c r="J48" s="140"/>
      <c r="K48" s="125"/>
      <c r="L48" s="140"/>
      <c r="M48" s="125"/>
      <c r="N48" s="140"/>
      <c r="O48" s="125"/>
      <c r="P48" s="140"/>
      <c r="Q48" s="125"/>
      <c r="R48" s="126"/>
      <c r="S48" s="141"/>
      <c r="T48" s="125"/>
      <c r="U48" s="129"/>
      <c r="V48" s="129"/>
      <c r="W48" s="129"/>
    </row>
    <row r="49" s="130" customFormat="true" ht="51.75" hidden="false" customHeight="true" outlineLevel="0" collapsed="false">
      <c r="A49" s="112"/>
      <c r="B49" s="142"/>
      <c r="C49" s="122" t="s">
        <v>36</v>
      </c>
      <c r="D49" s="116"/>
      <c r="E49" s="116"/>
      <c r="F49" s="146"/>
      <c r="G49" s="146"/>
      <c r="H49" s="146"/>
      <c r="I49" s="125"/>
      <c r="J49" s="146"/>
      <c r="K49" s="125"/>
      <c r="L49" s="146"/>
      <c r="M49" s="125"/>
      <c r="N49" s="146"/>
      <c r="O49" s="125"/>
      <c r="P49" s="146"/>
      <c r="Q49" s="125"/>
      <c r="R49" s="126"/>
      <c r="S49" s="141"/>
      <c r="T49" s="125"/>
      <c r="U49" s="129"/>
      <c r="V49" s="129"/>
      <c r="W49" s="129"/>
    </row>
    <row r="50" s="130" customFormat="true" ht="45" hidden="false" customHeight="true" outlineLevel="0" collapsed="false">
      <c r="A50" s="112"/>
      <c r="B50" s="142"/>
      <c r="C50" s="122" t="s">
        <v>31</v>
      </c>
      <c r="D50" s="116"/>
      <c r="E50" s="116"/>
      <c r="F50" s="146"/>
      <c r="G50" s="146"/>
      <c r="H50" s="146"/>
      <c r="I50" s="125"/>
      <c r="J50" s="146"/>
      <c r="K50" s="125"/>
      <c r="L50" s="146"/>
      <c r="M50" s="125"/>
      <c r="N50" s="146"/>
      <c r="O50" s="125"/>
      <c r="P50" s="146"/>
      <c r="Q50" s="125"/>
      <c r="R50" s="126"/>
      <c r="S50" s="141"/>
      <c r="T50" s="125"/>
      <c r="U50" s="129"/>
      <c r="V50" s="129"/>
      <c r="W50" s="129"/>
    </row>
    <row r="51" s="130" customFormat="true" ht="18" hidden="false" customHeight="true" outlineLevel="0" collapsed="false">
      <c r="A51" s="112"/>
      <c r="B51" s="142"/>
      <c r="C51" s="122" t="s">
        <v>32</v>
      </c>
      <c r="D51" s="116" t="s">
        <v>48</v>
      </c>
      <c r="E51" s="116" t="s">
        <v>43</v>
      </c>
      <c r="F51" s="140" t="n">
        <f aca="false">SUM(G51:R51)</f>
        <v>100</v>
      </c>
      <c r="G51" s="140" t="n">
        <f aca="false">1045-945</f>
        <v>100</v>
      </c>
      <c r="H51" s="140"/>
      <c r="I51" s="125"/>
      <c r="J51" s="140"/>
      <c r="K51" s="125"/>
      <c r="L51" s="140"/>
      <c r="M51" s="125"/>
      <c r="N51" s="140"/>
      <c r="O51" s="125"/>
      <c r="P51" s="140"/>
      <c r="Q51" s="125"/>
      <c r="R51" s="126"/>
      <c r="S51" s="141"/>
      <c r="T51" s="125"/>
      <c r="U51" s="147" t="s">
        <v>211</v>
      </c>
      <c r="V51" s="147"/>
      <c r="W51" s="147"/>
    </row>
    <row r="52" s="130" customFormat="true" ht="23.25" hidden="false" customHeight="true" outlineLevel="0" collapsed="false">
      <c r="A52" s="112"/>
      <c r="B52" s="142"/>
      <c r="C52" s="122" t="s">
        <v>33</v>
      </c>
      <c r="D52" s="116"/>
      <c r="E52" s="116"/>
      <c r="F52" s="146"/>
      <c r="G52" s="146"/>
      <c r="H52" s="146"/>
      <c r="I52" s="125"/>
      <c r="J52" s="146"/>
      <c r="K52" s="125"/>
      <c r="L52" s="140"/>
      <c r="M52" s="125"/>
      <c r="N52" s="140"/>
      <c r="O52" s="125"/>
      <c r="P52" s="140"/>
      <c r="Q52" s="125"/>
      <c r="R52" s="126"/>
      <c r="S52" s="141"/>
      <c r="T52" s="125"/>
      <c r="U52" s="147"/>
      <c r="V52" s="147"/>
      <c r="W52" s="147"/>
    </row>
    <row r="53" s="130" customFormat="true" ht="19.5" hidden="false" customHeight="true" outlineLevel="0" collapsed="false">
      <c r="A53" s="112"/>
      <c r="B53" s="142"/>
      <c r="C53" s="122" t="s">
        <v>34</v>
      </c>
      <c r="D53" s="116"/>
      <c r="E53" s="116"/>
      <c r="F53" s="146"/>
      <c r="G53" s="146"/>
      <c r="H53" s="146"/>
      <c r="I53" s="125"/>
      <c r="J53" s="146"/>
      <c r="K53" s="125"/>
      <c r="L53" s="140"/>
      <c r="M53" s="125"/>
      <c r="N53" s="140"/>
      <c r="O53" s="125"/>
      <c r="P53" s="140"/>
      <c r="Q53" s="125"/>
      <c r="R53" s="126"/>
      <c r="S53" s="141"/>
      <c r="T53" s="125"/>
      <c r="U53" s="147"/>
      <c r="V53" s="147"/>
      <c r="W53" s="147"/>
    </row>
    <row r="54" s="130" customFormat="true" ht="18" hidden="false" customHeight="true" outlineLevel="0" collapsed="false">
      <c r="A54" s="112"/>
      <c r="B54" s="142"/>
      <c r="C54" s="122" t="s">
        <v>35</v>
      </c>
      <c r="D54" s="116"/>
      <c r="E54" s="116"/>
      <c r="F54" s="146"/>
      <c r="G54" s="146"/>
      <c r="H54" s="146"/>
      <c r="I54" s="125"/>
      <c r="J54" s="146"/>
      <c r="K54" s="125"/>
      <c r="L54" s="140"/>
      <c r="M54" s="125"/>
      <c r="N54" s="140"/>
      <c r="O54" s="125"/>
      <c r="P54" s="140"/>
      <c r="Q54" s="125"/>
      <c r="R54" s="126"/>
      <c r="S54" s="141"/>
      <c r="T54" s="125"/>
      <c r="U54" s="147"/>
      <c r="V54" s="147"/>
      <c r="W54" s="147"/>
    </row>
    <row r="55" s="130" customFormat="true" ht="42.75" hidden="false" customHeight="false" outlineLevel="0" collapsed="false">
      <c r="A55" s="112"/>
      <c r="B55" s="142"/>
      <c r="C55" s="122" t="s">
        <v>36</v>
      </c>
      <c r="D55" s="116"/>
      <c r="E55" s="116"/>
      <c r="F55" s="146"/>
      <c r="G55" s="146"/>
      <c r="H55" s="146"/>
      <c r="I55" s="125"/>
      <c r="J55" s="146"/>
      <c r="K55" s="125"/>
      <c r="L55" s="140"/>
      <c r="M55" s="125"/>
      <c r="N55" s="140"/>
      <c r="O55" s="125"/>
      <c r="P55" s="140"/>
      <c r="Q55" s="125"/>
      <c r="R55" s="126"/>
      <c r="S55" s="141"/>
      <c r="T55" s="125"/>
      <c r="U55" s="147"/>
      <c r="V55" s="147"/>
      <c r="W55" s="147"/>
    </row>
    <row r="56" s="130" customFormat="true" ht="30.75" hidden="false" customHeight="true" outlineLevel="0" collapsed="false">
      <c r="A56" s="112"/>
      <c r="B56" s="142"/>
      <c r="C56" s="122" t="s">
        <v>31</v>
      </c>
      <c r="D56" s="116"/>
      <c r="E56" s="116"/>
      <c r="F56" s="146"/>
      <c r="G56" s="146"/>
      <c r="H56" s="146"/>
      <c r="I56" s="125"/>
      <c r="J56" s="146"/>
      <c r="K56" s="125"/>
      <c r="L56" s="140"/>
      <c r="M56" s="125"/>
      <c r="N56" s="140"/>
      <c r="O56" s="125"/>
      <c r="P56" s="140"/>
      <c r="Q56" s="125"/>
      <c r="R56" s="126"/>
      <c r="S56" s="141"/>
      <c r="T56" s="125"/>
      <c r="U56" s="129"/>
      <c r="V56" s="129"/>
      <c r="W56" s="129"/>
    </row>
    <row r="57" s="130" customFormat="true" ht="21.45" hidden="false" customHeight="true" outlineLevel="0" collapsed="false">
      <c r="A57" s="112"/>
      <c r="B57" s="142"/>
      <c r="C57" s="122" t="s">
        <v>32</v>
      </c>
      <c r="D57" s="116" t="s">
        <v>49</v>
      </c>
      <c r="E57" s="116" t="s">
        <v>43</v>
      </c>
      <c r="F57" s="140" t="n">
        <f aca="false">SUM(G57:S57)</f>
        <v>51695.0978571221</v>
      </c>
      <c r="G57" s="140" t="n">
        <f aca="false">5320+500+2250</f>
        <v>8070</v>
      </c>
      <c r="H57" s="140" t="n">
        <v>6700</v>
      </c>
      <c r="I57" s="125" t="n">
        <f aca="false">IFERROR(H57/G57, 0)</f>
        <v>0.830235439900868</v>
      </c>
      <c r="J57" s="140" t="n">
        <v>7700</v>
      </c>
      <c r="K57" s="125" t="n">
        <f aca="false">IFERROR(J57/H57, 0)</f>
        <v>1.14925373134328</v>
      </c>
      <c r="L57" s="140" t="n">
        <v>8000</v>
      </c>
      <c r="M57" s="125" t="n">
        <f aca="false">IFERROR(L57/J57, 0)</f>
        <v>1.03896103896104</v>
      </c>
      <c r="N57" s="140" t="n">
        <v>6952.73</v>
      </c>
      <c r="O57" s="125" t="n">
        <f aca="false">IFERROR(N57/L57, 0)</f>
        <v>0.86909125</v>
      </c>
      <c r="P57" s="140" t="n">
        <v>6993.86</v>
      </c>
      <c r="Q57" s="125" t="n">
        <f aca="false">IFERROR(P57/N57, 0)</f>
        <v>1.00591566190547</v>
      </c>
      <c r="R57" s="126" t="n">
        <f aca="false">P57*104/100</f>
        <v>7273.6144</v>
      </c>
      <c r="S57" s="141"/>
      <c r="T57" s="125" t="n">
        <f aca="false">IFERROR(R57/P57, 0)</f>
        <v>1.04</v>
      </c>
      <c r="U57" s="147" t="s">
        <v>212</v>
      </c>
      <c r="V57" s="147"/>
      <c r="W57" s="147"/>
    </row>
    <row r="58" s="130" customFormat="true" ht="28.5" hidden="false" customHeight="false" outlineLevel="0" collapsed="false">
      <c r="A58" s="112"/>
      <c r="B58" s="142"/>
      <c r="C58" s="122" t="s">
        <v>33</v>
      </c>
      <c r="D58" s="116"/>
      <c r="E58" s="116"/>
      <c r="F58" s="146"/>
      <c r="G58" s="146"/>
      <c r="H58" s="146"/>
      <c r="I58" s="125"/>
      <c r="J58" s="146"/>
      <c r="K58" s="125"/>
      <c r="L58" s="146"/>
      <c r="M58" s="125"/>
      <c r="N58" s="146"/>
      <c r="O58" s="125"/>
      <c r="P58" s="146"/>
      <c r="Q58" s="125"/>
      <c r="R58" s="126" t="n">
        <f aca="false">P58*104/100</f>
        <v>0</v>
      </c>
      <c r="S58" s="141"/>
      <c r="T58" s="125"/>
      <c r="U58" s="147"/>
      <c r="V58" s="147"/>
      <c r="W58" s="147"/>
    </row>
    <row r="59" s="130" customFormat="true" ht="37.5" hidden="false" customHeight="true" outlineLevel="0" collapsed="false">
      <c r="A59" s="112"/>
      <c r="B59" s="142"/>
      <c r="C59" s="122" t="s">
        <v>34</v>
      </c>
      <c r="D59" s="116"/>
      <c r="E59" s="116"/>
      <c r="F59" s="146"/>
      <c r="G59" s="146"/>
      <c r="H59" s="146"/>
      <c r="I59" s="125"/>
      <c r="J59" s="146"/>
      <c r="K59" s="125"/>
      <c r="L59" s="146"/>
      <c r="M59" s="125"/>
      <c r="N59" s="146"/>
      <c r="O59" s="125"/>
      <c r="P59" s="146"/>
      <c r="Q59" s="125"/>
      <c r="R59" s="126" t="n">
        <f aca="false">P59*104/100</f>
        <v>0</v>
      </c>
      <c r="S59" s="141"/>
      <c r="T59" s="125"/>
      <c r="U59" s="147"/>
      <c r="V59" s="147"/>
      <c r="W59" s="147"/>
    </row>
    <row r="60" s="130" customFormat="true" ht="28.5" hidden="false" customHeight="false" outlineLevel="0" collapsed="false">
      <c r="A60" s="112"/>
      <c r="B60" s="142"/>
      <c r="C60" s="122" t="s">
        <v>35</v>
      </c>
      <c r="D60" s="116"/>
      <c r="E60" s="116"/>
      <c r="F60" s="146"/>
      <c r="G60" s="146"/>
      <c r="H60" s="146"/>
      <c r="I60" s="125"/>
      <c r="J60" s="146"/>
      <c r="K60" s="125"/>
      <c r="L60" s="146"/>
      <c r="M60" s="125"/>
      <c r="N60" s="146"/>
      <c r="O60" s="125"/>
      <c r="P60" s="146"/>
      <c r="Q60" s="125"/>
      <c r="R60" s="126" t="n">
        <f aca="false">P60*104/100</f>
        <v>0</v>
      </c>
      <c r="S60" s="141"/>
      <c r="T60" s="125"/>
      <c r="U60" s="147"/>
      <c r="V60" s="147"/>
      <c r="W60" s="147"/>
    </row>
    <row r="61" s="130" customFormat="true" ht="42.75" hidden="false" customHeight="false" outlineLevel="0" collapsed="false">
      <c r="A61" s="112"/>
      <c r="B61" s="142"/>
      <c r="C61" s="122" t="s">
        <v>36</v>
      </c>
      <c r="D61" s="116"/>
      <c r="E61" s="116"/>
      <c r="F61" s="146"/>
      <c r="G61" s="146"/>
      <c r="H61" s="146"/>
      <c r="I61" s="125"/>
      <c r="J61" s="146"/>
      <c r="K61" s="125"/>
      <c r="L61" s="146"/>
      <c r="M61" s="125"/>
      <c r="N61" s="146"/>
      <c r="O61" s="125"/>
      <c r="P61" s="146"/>
      <c r="Q61" s="125"/>
      <c r="R61" s="126" t="n">
        <f aca="false">P61*104/100</f>
        <v>0</v>
      </c>
      <c r="S61" s="141"/>
      <c r="T61" s="125"/>
      <c r="U61" s="147"/>
      <c r="V61" s="147"/>
      <c r="W61" s="147"/>
    </row>
    <row r="62" s="130" customFormat="true" ht="27" hidden="false" customHeight="true" outlineLevel="0" collapsed="false">
      <c r="A62" s="112" t="s">
        <v>213</v>
      </c>
      <c r="B62" s="142" t="s">
        <v>51</v>
      </c>
      <c r="C62" s="122" t="s">
        <v>30</v>
      </c>
      <c r="D62" s="116" t="s">
        <v>42</v>
      </c>
      <c r="E62" s="116" t="s">
        <v>43</v>
      </c>
      <c r="F62" s="140" t="n">
        <f aca="false">SUM(G62:S62)</f>
        <v>42117.8648159129</v>
      </c>
      <c r="G62" s="140" t="n">
        <f aca="false">SUM(G63:G68)</f>
        <v>4159.3534</v>
      </c>
      <c r="H62" s="140" t="n">
        <f aca="false">SUM(H63:H68)</f>
        <v>5990</v>
      </c>
      <c r="I62" s="125" t="n">
        <f aca="false">IFERROR(H62/G62, 0)</f>
        <v>1.44012768907783</v>
      </c>
      <c r="J62" s="140" t="n">
        <f aca="false">SUM(J63:J68)</f>
        <v>6815</v>
      </c>
      <c r="K62" s="125" t="n">
        <f aca="false">IFERROR(J62/H62, 0)</f>
        <v>1.13772954924875</v>
      </c>
      <c r="L62" s="140" t="n">
        <f aca="false">SUM(L63:L68)</f>
        <v>6889.42</v>
      </c>
      <c r="M62" s="125" t="n">
        <f aca="false">IFERROR(L62/J62, 0)</f>
        <v>1.01092002934703</v>
      </c>
      <c r="N62" s="140" t="n">
        <f aca="false">SUM(N63:N68)</f>
        <v>6001.78</v>
      </c>
      <c r="O62" s="125" t="n">
        <f aca="false">IFERROR(N62/L62, 0)</f>
        <v>0.871158965486209</v>
      </c>
      <c r="P62" s="140" t="n">
        <f aca="false">SUM(P63:P68)</f>
        <v>6008.26</v>
      </c>
      <c r="Q62" s="125" t="n">
        <f aca="false">IFERROR(P62/N62, 0)</f>
        <v>1.00107967969502</v>
      </c>
      <c r="R62" s="140" t="n">
        <f aca="false">SUM(R63:R68)</f>
        <v>6248.5904</v>
      </c>
      <c r="S62" s="141"/>
      <c r="T62" s="125" t="n">
        <f aca="false">IFERROR(R62/P62, 0)</f>
        <v>1.04</v>
      </c>
      <c r="U62" s="129"/>
      <c r="V62" s="129"/>
      <c r="W62" s="129"/>
    </row>
    <row r="63" s="130" customFormat="true" ht="30.75" hidden="false" customHeight="true" outlineLevel="0" collapsed="false">
      <c r="A63" s="112"/>
      <c r="B63" s="142"/>
      <c r="C63" s="122" t="s">
        <v>31</v>
      </c>
      <c r="D63" s="116"/>
      <c r="E63" s="116"/>
      <c r="F63" s="140"/>
      <c r="G63" s="140"/>
      <c r="H63" s="140"/>
      <c r="I63" s="125"/>
      <c r="J63" s="140"/>
      <c r="K63" s="125"/>
      <c r="L63" s="140"/>
      <c r="M63" s="125"/>
      <c r="N63" s="140"/>
      <c r="O63" s="125"/>
      <c r="P63" s="140"/>
      <c r="Q63" s="125"/>
      <c r="R63" s="126"/>
      <c r="S63" s="141"/>
      <c r="T63" s="125"/>
      <c r="U63" s="129"/>
      <c r="V63" s="129"/>
      <c r="W63" s="129"/>
    </row>
    <row r="64" s="130" customFormat="true" ht="24.75" hidden="false" customHeight="true" outlineLevel="0" collapsed="false">
      <c r="A64" s="112"/>
      <c r="B64" s="142"/>
      <c r="C64" s="122" t="s">
        <v>32</v>
      </c>
      <c r="D64" s="116"/>
      <c r="E64" s="116"/>
      <c r="F64" s="140" t="n">
        <f aca="false">SUM(G64:S64)</f>
        <v>42117.8648159129</v>
      </c>
      <c r="G64" s="140" t="n">
        <v>4159.3534</v>
      </c>
      <c r="H64" s="140" t="n">
        <v>5990</v>
      </c>
      <c r="I64" s="125" t="n">
        <f aca="false">IFERROR(H64/G64, 0)</f>
        <v>1.44012768907783</v>
      </c>
      <c r="J64" s="140" t="n">
        <v>6815</v>
      </c>
      <c r="K64" s="125" t="n">
        <f aca="false">IFERROR(J64/H64, 0)</f>
        <v>1.13772954924875</v>
      </c>
      <c r="L64" s="140" t="n">
        <v>6889.42</v>
      </c>
      <c r="M64" s="125" t="n">
        <f aca="false">IFERROR(L64/J64, 0)</f>
        <v>1.01092002934703</v>
      </c>
      <c r="N64" s="140" t="n">
        <v>6001.78</v>
      </c>
      <c r="O64" s="125" t="n">
        <f aca="false">IFERROR(N64/L64, 0)</f>
        <v>0.871158965486209</v>
      </c>
      <c r="P64" s="140" t="n">
        <v>6008.26</v>
      </c>
      <c r="Q64" s="125" t="n">
        <f aca="false">IFERROR(P64/N64, 0)</f>
        <v>1.00107967969502</v>
      </c>
      <c r="R64" s="126" t="n">
        <f aca="false">P64*104/100</f>
        <v>6248.5904</v>
      </c>
      <c r="S64" s="141"/>
      <c r="T64" s="125" t="n">
        <f aca="false">IFERROR(R64/P64, 0)</f>
        <v>1.04</v>
      </c>
      <c r="U64" s="129"/>
      <c r="V64" s="129"/>
      <c r="W64" s="129"/>
    </row>
    <row r="65" s="130" customFormat="true" ht="27.6" hidden="false" customHeight="false" outlineLevel="0" collapsed="false">
      <c r="A65" s="112"/>
      <c r="B65" s="142"/>
      <c r="C65" s="122" t="s">
        <v>33</v>
      </c>
      <c r="D65" s="116"/>
      <c r="E65" s="116"/>
      <c r="F65" s="140"/>
      <c r="G65" s="140"/>
      <c r="H65" s="140"/>
      <c r="I65" s="125"/>
      <c r="J65" s="140"/>
      <c r="K65" s="125"/>
      <c r="L65" s="140"/>
      <c r="M65" s="125"/>
      <c r="N65" s="140"/>
      <c r="O65" s="125"/>
      <c r="P65" s="140"/>
      <c r="Q65" s="125"/>
      <c r="R65" s="126" t="n">
        <f aca="false">P65*104/100</f>
        <v>0</v>
      </c>
      <c r="S65" s="141"/>
      <c r="T65" s="125"/>
      <c r="U65" s="129"/>
      <c r="V65" s="129"/>
      <c r="W65" s="129"/>
    </row>
    <row r="66" s="130" customFormat="true" ht="33" hidden="false" customHeight="true" outlineLevel="0" collapsed="false">
      <c r="A66" s="112"/>
      <c r="B66" s="142"/>
      <c r="C66" s="122" t="s">
        <v>34</v>
      </c>
      <c r="D66" s="116"/>
      <c r="E66" s="116"/>
      <c r="F66" s="140"/>
      <c r="G66" s="140"/>
      <c r="H66" s="140"/>
      <c r="I66" s="125"/>
      <c r="J66" s="140"/>
      <c r="K66" s="125"/>
      <c r="L66" s="140"/>
      <c r="M66" s="125"/>
      <c r="N66" s="140"/>
      <c r="O66" s="125"/>
      <c r="P66" s="140"/>
      <c r="Q66" s="125"/>
      <c r="R66" s="126" t="n">
        <f aca="false">P66*104/100</f>
        <v>0</v>
      </c>
      <c r="S66" s="141"/>
      <c r="T66" s="125"/>
      <c r="U66" s="129"/>
      <c r="V66" s="129"/>
      <c r="W66" s="129"/>
    </row>
    <row r="67" s="130" customFormat="true" ht="27.6" hidden="false" customHeight="false" outlineLevel="0" collapsed="false">
      <c r="A67" s="112"/>
      <c r="B67" s="142"/>
      <c r="C67" s="122" t="s">
        <v>35</v>
      </c>
      <c r="D67" s="116"/>
      <c r="E67" s="116"/>
      <c r="F67" s="140"/>
      <c r="G67" s="140"/>
      <c r="H67" s="140"/>
      <c r="I67" s="125"/>
      <c r="J67" s="140"/>
      <c r="K67" s="125"/>
      <c r="L67" s="140"/>
      <c r="M67" s="125"/>
      <c r="N67" s="140"/>
      <c r="O67" s="125"/>
      <c r="P67" s="140"/>
      <c r="Q67" s="125"/>
      <c r="R67" s="126" t="n">
        <f aca="false">P67*104/100</f>
        <v>0</v>
      </c>
      <c r="S67" s="141"/>
      <c r="T67" s="125"/>
      <c r="U67" s="129"/>
      <c r="V67" s="129"/>
      <c r="W67" s="129"/>
    </row>
    <row r="68" s="130" customFormat="true" ht="41.4" hidden="false" customHeight="false" outlineLevel="0" collapsed="false">
      <c r="A68" s="112"/>
      <c r="B68" s="142"/>
      <c r="C68" s="122" t="s">
        <v>36</v>
      </c>
      <c r="D68" s="116"/>
      <c r="E68" s="116"/>
      <c r="F68" s="140"/>
      <c r="G68" s="140"/>
      <c r="H68" s="140"/>
      <c r="I68" s="125"/>
      <c r="J68" s="140"/>
      <c r="K68" s="125"/>
      <c r="L68" s="140"/>
      <c r="M68" s="125"/>
      <c r="N68" s="140"/>
      <c r="O68" s="125"/>
      <c r="P68" s="140"/>
      <c r="Q68" s="125"/>
      <c r="R68" s="126" t="n">
        <f aca="false">P68*104/100</f>
        <v>0</v>
      </c>
      <c r="S68" s="141"/>
      <c r="T68" s="125"/>
      <c r="U68" s="129"/>
      <c r="V68" s="129"/>
      <c r="W68" s="129"/>
    </row>
    <row r="69" s="130" customFormat="true" ht="24.75" hidden="false" customHeight="true" outlineLevel="0" collapsed="false">
      <c r="A69" s="112" t="s">
        <v>214</v>
      </c>
      <c r="B69" s="142" t="s">
        <v>215</v>
      </c>
      <c r="C69" s="122" t="s">
        <v>30</v>
      </c>
      <c r="D69" s="116" t="s">
        <v>42</v>
      </c>
      <c r="E69" s="116" t="s">
        <v>43</v>
      </c>
      <c r="F69" s="140" t="n">
        <f aca="false">SUM(G69:S69)</f>
        <v>495942.130402493</v>
      </c>
      <c r="G69" s="140" t="n">
        <f aca="false">SUM(G70:G75)</f>
        <v>66309.18611</v>
      </c>
      <c r="H69" s="140" t="n">
        <f aca="false">SUM(H70:H75)</f>
        <v>66149.44292</v>
      </c>
      <c r="I69" s="125" t="n">
        <f aca="false">IFERROR(H69/G69, 0)</f>
        <v>0.997590934237452</v>
      </c>
      <c r="J69" s="140" t="n">
        <f aca="false">SUM(J70:J75)</f>
        <v>71949.0769</v>
      </c>
      <c r="K69" s="125" t="n">
        <f aca="false">IFERROR(J69/H69, 0)</f>
        <v>1.0876747214185</v>
      </c>
      <c r="L69" s="140" t="n">
        <f aca="false">SUM(L70:L75)</f>
        <v>72937.85</v>
      </c>
      <c r="M69" s="125" t="n">
        <f aca="false">IFERROR(L69/J69, 0)</f>
        <v>1.01374267944222</v>
      </c>
      <c r="N69" s="140" t="n">
        <f aca="false">SUM(N70:N75)</f>
        <v>71901.74</v>
      </c>
      <c r="O69" s="125" t="n">
        <f aca="false">IFERROR(N69/L69, 0)</f>
        <v>0.985794618294891</v>
      </c>
      <c r="P69" s="140" t="n">
        <f aca="false">SUM(P70:P75)</f>
        <v>71906.74</v>
      </c>
      <c r="Q69" s="125" t="n">
        <f aca="false">IFERROR(P69/N69, 0)</f>
        <v>1.00006953934634</v>
      </c>
      <c r="R69" s="140" t="n">
        <f aca="false">SUM(R70:R75)</f>
        <v>74783.0096</v>
      </c>
      <c r="S69" s="141"/>
      <c r="T69" s="125" t="n">
        <f aca="false">IFERROR(R69/P69, 0)</f>
        <v>1.04</v>
      </c>
      <c r="U69" s="129"/>
      <c r="V69" s="129"/>
      <c r="W69" s="129"/>
    </row>
    <row r="70" s="130" customFormat="true" ht="30.45" hidden="false" customHeight="true" outlineLevel="0" collapsed="false">
      <c r="A70" s="112"/>
      <c r="B70" s="142"/>
      <c r="C70" s="122" t="s">
        <v>31</v>
      </c>
      <c r="D70" s="116"/>
      <c r="E70" s="116"/>
      <c r="F70" s="140" t="n">
        <f aca="false">SUM(G70:S70)</f>
        <v>1723.93360433604</v>
      </c>
      <c r="G70" s="140" t="n">
        <f aca="false">400+522.5</f>
        <v>922.5</v>
      </c>
      <c r="H70" s="140" t="n">
        <v>400</v>
      </c>
      <c r="I70" s="125" t="n">
        <f aca="false">IFERROR(H70/G70, 0)</f>
        <v>0.43360433604336</v>
      </c>
      <c r="J70" s="140" t="n">
        <v>400</v>
      </c>
      <c r="K70" s="125" t="n">
        <f aca="false">IFERROR(J70/H70, 0)</f>
        <v>1</v>
      </c>
      <c r="L70" s="140"/>
      <c r="M70" s="125"/>
      <c r="N70" s="140"/>
      <c r="O70" s="125"/>
      <c r="P70" s="140"/>
      <c r="Q70" s="125"/>
      <c r="R70" s="126" t="n">
        <f aca="false">P70*104/100</f>
        <v>0</v>
      </c>
      <c r="S70" s="141"/>
      <c r="T70" s="125"/>
      <c r="U70" s="129"/>
      <c r="V70" s="129"/>
      <c r="W70" s="129"/>
    </row>
    <row r="71" s="130" customFormat="true" ht="34.5" hidden="false" customHeight="true" outlineLevel="0" collapsed="false">
      <c r="A71" s="112"/>
      <c r="B71" s="142"/>
      <c r="C71" s="122" t="s">
        <v>32</v>
      </c>
      <c r="D71" s="116"/>
      <c r="E71" s="116"/>
      <c r="F71" s="140" t="n">
        <f aca="false">SUM(G71:S71)</f>
        <v>494219.644560213</v>
      </c>
      <c r="G71" s="140" t="n">
        <v>65386.68611</v>
      </c>
      <c r="H71" s="140" t="n">
        <v>65749.44292</v>
      </c>
      <c r="I71" s="125" t="n">
        <f aca="false">IFERROR(H71/G71, 0)</f>
        <v>1.00554786962884</v>
      </c>
      <c r="J71" s="140" t="n">
        <f aca="false">71949.0769-J70</f>
        <v>71549.0769</v>
      </c>
      <c r="K71" s="125" t="n">
        <f aca="false">IFERROR(J71/H71, 0)</f>
        <v>1.08820810827335</v>
      </c>
      <c r="L71" s="140" t="n">
        <v>72937.85</v>
      </c>
      <c r="M71" s="125" t="n">
        <f aca="false">IFERROR(L71/J71, 0)</f>
        <v>1.0194100771131</v>
      </c>
      <c r="N71" s="140" t="n">
        <v>71901.74</v>
      </c>
      <c r="O71" s="125" t="n">
        <f aca="false">IFERROR(N71/L71, 0)</f>
        <v>0.985794618294891</v>
      </c>
      <c r="P71" s="140" t="n">
        <v>71906.74</v>
      </c>
      <c r="Q71" s="125" t="n">
        <f aca="false">IFERROR(P71/N71, 0)</f>
        <v>1.00006953934634</v>
      </c>
      <c r="R71" s="126" t="n">
        <f aca="false">P71*104/100</f>
        <v>74783.0096</v>
      </c>
      <c r="S71" s="141"/>
      <c r="T71" s="125" t="n">
        <f aca="false">IFERROR(R71/P71, 0)</f>
        <v>1.04</v>
      </c>
      <c r="U71" s="129"/>
      <c r="V71" s="129"/>
      <c r="W71" s="129"/>
    </row>
    <row r="72" s="130" customFormat="true" ht="27.6" hidden="false" customHeight="false" outlineLevel="0" collapsed="false">
      <c r="A72" s="112"/>
      <c r="B72" s="142"/>
      <c r="C72" s="122" t="s">
        <v>33</v>
      </c>
      <c r="D72" s="116"/>
      <c r="E72" s="116"/>
      <c r="F72" s="140"/>
      <c r="G72" s="140"/>
      <c r="H72" s="140"/>
      <c r="I72" s="125"/>
      <c r="J72" s="140"/>
      <c r="K72" s="125"/>
      <c r="L72" s="140"/>
      <c r="M72" s="125"/>
      <c r="N72" s="140"/>
      <c r="O72" s="125"/>
      <c r="P72" s="140"/>
      <c r="Q72" s="125"/>
      <c r="R72" s="126" t="n">
        <f aca="false">P72*104/100</f>
        <v>0</v>
      </c>
      <c r="S72" s="141"/>
      <c r="T72" s="125"/>
      <c r="U72" s="129"/>
      <c r="V72" s="129"/>
      <c r="W72" s="129"/>
    </row>
    <row r="73" s="130" customFormat="true" ht="33" hidden="false" customHeight="true" outlineLevel="0" collapsed="false">
      <c r="A73" s="112"/>
      <c r="B73" s="142"/>
      <c r="C73" s="122" t="s">
        <v>34</v>
      </c>
      <c r="D73" s="116"/>
      <c r="E73" s="116"/>
      <c r="F73" s="140"/>
      <c r="G73" s="140"/>
      <c r="H73" s="140"/>
      <c r="I73" s="125"/>
      <c r="J73" s="140"/>
      <c r="K73" s="125"/>
      <c r="L73" s="140"/>
      <c r="M73" s="125"/>
      <c r="N73" s="140"/>
      <c r="O73" s="125"/>
      <c r="P73" s="140"/>
      <c r="Q73" s="125"/>
      <c r="R73" s="126" t="n">
        <f aca="false">P73*104/100</f>
        <v>0</v>
      </c>
      <c r="S73" s="141"/>
      <c r="T73" s="125"/>
      <c r="U73" s="129"/>
      <c r="V73" s="129"/>
      <c r="W73" s="129"/>
    </row>
    <row r="74" s="130" customFormat="true" ht="27" hidden="false" customHeight="true" outlineLevel="0" collapsed="false">
      <c r="A74" s="112"/>
      <c r="B74" s="142"/>
      <c r="C74" s="122" t="s">
        <v>35</v>
      </c>
      <c r="D74" s="116"/>
      <c r="E74" s="116"/>
      <c r="F74" s="140"/>
      <c r="G74" s="140"/>
      <c r="H74" s="140"/>
      <c r="I74" s="125"/>
      <c r="J74" s="140"/>
      <c r="K74" s="125"/>
      <c r="L74" s="140"/>
      <c r="M74" s="125"/>
      <c r="N74" s="140"/>
      <c r="O74" s="125"/>
      <c r="P74" s="140"/>
      <c r="Q74" s="125"/>
      <c r="R74" s="126" t="n">
        <f aca="false">P74*104/100</f>
        <v>0</v>
      </c>
      <c r="S74" s="141"/>
      <c r="T74" s="125"/>
      <c r="U74" s="129"/>
      <c r="V74" s="129"/>
      <c r="W74" s="129"/>
    </row>
    <row r="75" s="130" customFormat="true" ht="41.4" hidden="false" customHeight="false" outlineLevel="0" collapsed="false">
      <c r="A75" s="112"/>
      <c r="B75" s="142"/>
      <c r="C75" s="122" t="s">
        <v>36</v>
      </c>
      <c r="D75" s="116"/>
      <c r="E75" s="116"/>
      <c r="F75" s="140"/>
      <c r="G75" s="140"/>
      <c r="H75" s="140"/>
      <c r="I75" s="125"/>
      <c r="J75" s="140"/>
      <c r="K75" s="125"/>
      <c r="L75" s="140"/>
      <c r="M75" s="125"/>
      <c r="N75" s="140"/>
      <c r="O75" s="125"/>
      <c r="P75" s="140"/>
      <c r="Q75" s="125"/>
      <c r="R75" s="126" t="n">
        <f aca="false">P75*104/100</f>
        <v>0</v>
      </c>
      <c r="S75" s="141"/>
      <c r="T75" s="125"/>
      <c r="U75" s="129"/>
      <c r="V75" s="129"/>
      <c r="W75" s="129"/>
    </row>
    <row r="76" s="130" customFormat="true" ht="19.5" hidden="false" customHeight="true" outlineLevel="0" collapsed="false">
      <c r="A76" s="112" t="s">
        <v>216</v>
      </c>
      <c r="B76" s="142" t="s">
        <v>55</v>
      </c>
      <c r="C76" s="122" t="s">
        <v>30</v>
      </c>
      <c r="D76" s="116" t="s">
        <v>42</v>
      </c>
      <c r="E76" s="116" t="s">
        <v>43</v>
      </c>
      <c r="F76" s="140" t="n">
        <f aca="false">SUM(G76:S76)</f>
        <v>1866999.35120123</v>
      </c>
      <c r="G76" s="140" t="n">
        <f aca="false">SUM(G77:G82)</f>
        <v>227582.43091</v>
      </c>
      <c r="H76" s="140" t="n">
        <f aca="false">SUM(H77:H82)</f>
        <v>221138.41193</v>
      </c>
      <c r="I76" s="125" t="n">
        <f aca="false">IFERROR(H76/G76, 0)</f>
        <v>0.97168490135977</v>
      </c>
      <c r="J76" s="140" t="n">
        <f aca="false">SUM(J77:J82)</f>
        <v>300399.43373</v>
      </c>
      <c r="K76" s="125" t="n">
        <f aca="false">IFERROR(J76/H76, 0)</f>
        <v>1.35842267794294</v>
      </c>
      <c r="L76" s="140" t="n">
        <f aca="false">SUM(L77:L82)</f>
        <v>277409.788</v>
      </c>
      <c r="M76" s="125" t="n">
        <f aca="false">IFERROR(L76/J76, 0)</f>
        <v>0.923469743452768</v>
      </c>
      <c r="N76" s="140" t="n">
        <f aca="false">SUM(N77:N82)</f>
        <v>276441.96</v>
      </c>
      <c r="O76" s="125" t="n">
        <f aca="false">IFERROR(N76/L76, 0)</f>
        <v>0.996511197362654</v>
      </c>
      <c r="P76" s="140" t="n">
        <f aca="false">SUM(P77:P82)</f>
        <v>276481.41</v>
      </c>
      <c r="Q76" s="125" t="n">
        <f aca="false">IFERROR(P76/N76, 0)</f>
        <v>1.00014270626644</v>
      </c>
      <c r="R76" s="140" t="n">
        <f aca="false">SUM(R77:R82)</f>
        <v>287540.6664</v>
      </c>
      <c r="S76" s="141"/>
      <c r="T76" s="125" t="n">
        <f aca="false">IFERROR(R76/P76, 0)</f>
        <v>1.04</v>
      </c>
      <c r="U76" s="129"/>
      <c r="V76" s="129"/>
      <c r="W76" s="129"/>
    </row>
    <row r="77" s="130" customFormat="true" ht="38.25" hidden="false" customHeight="true" outlineLevel="0" collapsed="false">
      <c r="A77" s="112"/>
      <c r="B77" s="142"/>
      <c r="C77" s="122" t="s">
        <v>31</v>
      </c>
      <c r="D77" s="116"/>
      <c r="E77" s="116"/>
      <c r="F77" s="140" t="n">
        <f aca="false">SUM(G77:S77)</f>
        <v>35013.173749696</v>
      </c>
      <c r="G77" s="140"/>
      <c r="H77" s="140"/>
      <c r="I77" s="125"/>
      <c r="J77" s="140" t="n">
        <v>19739.2</v>
      </c>
      <c r="K77" s="125"/>
      <c r="L77" s="140" t="n">
        <v>15273.2</v>
      </c>
      <c r="M77" s="125" t="n">
        <f aca="false">IFERROR(L77/J77, 0)</f>
        <v>0.773749696036314</v>
      </c>
      <c r="N77" s="140"/>
      <c r="O77" s="125"/>
      <c r="P77" s="140"/>
      <c r="Q77" s="125"/>
      <c r="R77" s="126" t="n">
        <f aca="false">P77*104/100</f>
        <v>0</v>
      </c>
      <c r="S77" s="141"/>
      <c r="T77" s="125"/>
      <c r="U77" s="129"/>
      <c r="V77" s="129"/>
      <c r="W77" s="129"/>
    </row>
    <row r="78" s="130" customFormat="true" ht="23.25" hidden="false" customHeight="true" outlineLevel="0" collapsed="false">
      <c r="A78" s="112"/>
      <c r="B78" s="142"/>
      <c r="C78" s="122" t="s">
        <v>32</v>
      </c>
      <c r="D78" s="116"/>
      <c r="E78" s="116"/>
      <c r="F78" s="140" t="n">
        <f aca="false">SUM(G78:S78)</f>
        <v>1798191.15867866</v>
      </c>
      <c r="G78" s="140" t="n">
        <v>219147.07091</v>
      </c>
      <c r="H78" s="140" t="n">
        <v>207923.20511</v>
      </c>
      <c r="I78" s="125" t="n">
        <f aca="false">IFERROR(H78/G78, 0)</f>
        <v>0.94878386576926</v>
      </c>
      <c r="J78" s="140" t="n">
        <v>268514.9871</v>
      </c>
      <c r="K78" s="125" t="n">
        <f aca="false">IFERROR(J78/H78, 0)</f>
        <v>1.291414236126</v>
      </c>
      <c r="L78" s="140" t="n">
        <v>262136.588</v>
      </c>
      <c r="M78" s="125" t="n">
        <f aca="false">IFERROR(L78/J78, 0)</f>
        <v>0.97624564956732</v>
      </c>
      <c r="N78" s="140" t="n">
        <v>276441.96</v>
      </c>
      <c r="O78" s="125" t="n">
        <f aca="false">IFERROR(N78/L78, 0)</f>
        <v>1.05457220645597</v>
      </c>
      <c r="P78" s="140" t="n">
        <v>276481.41</v>
      </c>
      <c r="Q78" s="125" t="n">
        <f aca="false">IFERROR(P78/N78, 0)</f>
        <v>1.00014270626644</v>
      </c>
      <c r="R78" s="126" t="n">
        <f aca="false">P78*104/100</f>
        <v>287540.6664</v>
      </c>
      <c r="S78" s="141"/>
      <c r="T78" s="125" t="n">
        <f aca="false">IFERROR(R78/P78, 0)</f>
        <v>1.04</v>
      </c>
      <c r="U78" s="129"/>
      <c r="V78" s="129"/>
      <c r="W78" s="129"/>
    </row>
    <row r="79" s="130" customFormat="true" ht="27.6" hidden="false" customHeight="false" outlineLevel="0" collapsed="false">
      <c r="A79" s="112"/>
      <c r="B79" s="142"/>
      <c r="C79" s="122" t="s">
        <v>33</v>
      </c>
      <c r="D79" s="116"/>
      <c r="E79" s="116"/>
      <c r="F79" s="140" t="n">
        <f aca="false">SUM(G79:S79)</f>
        <v>33798.2991297649</v>
      </c>
      <c r="G79" s="140" t="n">
        <v>8435.36</v>
      </c>
      <c r="H79" s="140" t="n">
        <v>13215.20682</v>
      </c>
      <c r="I79" s="125" t="n">
        <f aca="false">IFERROR(H79/G79,0)</f>
        <v>1.56664408158039</v>
      </c>
      <c r="J79" s="140" t="n">
        <v>12145.24663</v>
      </c>
      <c r="K79" s="125" t="n">
        <f aca="false">IFERROR(J79/H79,0)</f>
        <v>0.919035683317441</v>
      </c>
      <c r="L79" s="140"/>
      <c r="M79" s="125"/>
      <c r="N79" s="140"/>
      <c r="O79" s="125"/>
      <c r="P79" s="140"/>
      <c r="Q79" s="125"/>
      <c r="R79" s="126" t="n">
        <f aca="false">P79*104/100</f>
        <v>0</v>
      </c>
      <c r="S79" s="141"/>
      <c r="T79" s="125"/>
      <c r="U79" s="129"/>
      <c r="V79" s="129"/>
      <c r="W79" s="129"/>
    </row>
    <row r="80" s="130" customFormat="true" ht="33.75" hidden="false" customHeight="true" outlineLevel="0" collapsed="false">
      <c r="A80" s="112"/>
      <c r="B80" s="142"/>
      <c r="C80" s="122" t="s">
        <v>34</v>
      </c>
      <c r="D80" s="116"/>
      <c r="E80" s="116"/>
      <c r="F80" s="140"/>
      <c r="G80" s="140"/>
      <c r="H80" s="140"/>
      <c r="I80" s="125"/>
      <c r="J80" s="140"/>
      <c r="K80" s="125"/>
      <c r="L80" s="140"/>
      <c r="M80" s="125"/>
      <c r="N80" s="140"/>
      <c r="O80" s="125"/>
      <c r="P80" s="140"/>
      <c r="Q80" s="125"/>
      <c r="R80" s="126" t="n">
        <f aca="false">P80*104/100</f>
        <v>0</v>
      </c>
      <c r="S80" s="141"/>
      <c r="T80" s="125"/>
      <c r="U80" s="129"/>
      <c r="V80" s="129"/>
      <c r="W80" s="129"/>
    </row>
    <row r="81" s="130" customFormat="true" ht="21.45" hidden="false" customHeight="true" outlineLevel="0" collapsed="false">
      <c r="A81" s="112"/>
      <c r="B81" s="142"/>
      <c r="C81" s="122" t="s">
        <v>35</v>
      </c>
      <c r="D81" s="116"/>
      <c r="E81" s="116"/>
      <c r="F81" s="140"/>
      <c r="G81" s="140"/>
      <c r="H81" s="140"/>
      <c r="I81" s="125"/>
      <c r="J81" s="140"/>
      <c r="K81" s="125"/>
      <c r="L81" s="140"/>
      <c r="M81" s="125"/>
      <c r="N81" s="140"/>
      <c r="O81" s="125"/>
      <c r="P81" s="140"/>
      <c r="Q81" s="125"/>
      <c r="R81" s="126" t="n">
        <f aca="false">P81*104/100</f>
        <v>0</v>
      </c>
      <c r="S81" s="141"/>
      <c r="T81" s="125"/>
      <c r="U81" s="129"/>
      <c r="V81" s="129"/>
      <c r="W81" s="129"/>
    </row>
    <row r="82" s="130" customFormat="true" ht="41.4" hidden="false" customHeight="false" outlineLevel="0" collapsed="false">
      <c r="A82" s="112"/>
      <c r="B82" s="142"/>
      <c r="C82" s="122" t="s">
        <v>36</v>
      </c>
      <c r="D82" s="116"/>
      <c r="E82" s="116"/>
      <c r="F82" s="140"/>
      <c r="G82" s="140"/>
      <c r="H82" s="140"/>
      <c r="I82" s="125"/>
      <c r="J82" s="140"/>
      <c r="K82" s="125"/>
      <c r="L82" s="140"/>
      <c r="M82" s="125"/>
      <c r="N82" s="140"/>
      <c r="O82" s="125"/>
      <c r="P82" s="140"/>
      <c r="Q82" s="125"/>
      <c r="R82" s="126" t="n">
        <f aca="false">P82*104/100</f>
        <v>0</v>
      </c>
      <c r="S82" s="141"/>
      <c r="T82" s="125"/>
      <c r="U82" s="129"/>
      <c r="V82" s="129"/>
      <c r="W82" s="129"/>
    </row>
    <row r="83" s="130" customFormat="true" ht="19.5" hidden="false" customHeight="true" outlineLevel="0" collapsed="false">
      <c r="A83" s="112" t="s">
        <v>217</v>
      </c>
      <c r="B83" s="142" t="s">
        <v>218</v>
      </c>
      <c r="C83" s="122" t="s">
        <v>30</v>
      </c>
      <c r="D83" s="116"/>
      <c r="E83" s="116"/>
      <c r="F83" s="140" t="n">
        <f aca="false">SUM(G83:S83)</f>
        <v>5044843.21357297</v>
      </c>
      <c r="G83" s="140" t="n">
        <f aca="false">SUM(G84:G90)</f>
        <v>486032.33425</v>
      </c>
      <c r="H83" s="140" t="n">
        <f aca="false">SUM(H84:H90)</f>
        <v>722902.69958</v>
      </c>
      <c r="I83" s="125" t="n">
        <f aca="false">IFERROR(H83/G83,0)</f>
        <v>1.48735515857297</v>
      </c>
      <c r="J83" s="140" t="n">
        <f aca="false">SUM(J84:J90)</f>
        <v>1025993.4071</v>
      </c>
      <c r="K83" s="125" t="n">
        <f aca="false">IFERROR(J83/H83,0)</f>
        <v>1.41926902153788</v>
      </c>
      <c r="L83" s="140" t="n">
        <f aca="false">SUM(L84:L90)</f>
        <v>622295.43459</v>
      </c>
      <c r="M83" s="125" t="n">
        <f aca="false">IFERROR(L83/J83,0)</f>
        <v>0.606529662163167</v>
      </c>
      <c r="N83" s="140" t="n">
        <f aca="false">SUM(N84:N90)</f>
        <v>828393.289</v>
      </c>
      <c r="O83" s="125" t="n">
        <f aca="false">IFERROR(N83/L83,0)</f>
        <v>1.3311897258989</v>
      </c>
      <c r="P83" s="140" t="n">
        <f aca="false">SUM(P84:P90)</f>
        <v>666284.51</v>
      </c>
      <c r="Q83" s="125" t="n">
        <f aca="false">IFERROR(P83/N83,0)</f>
        <v>0.804309400917902</v>
      </c>
      <c r="R83" s="140" t="n">
        <f aca="false">SUM(R84:R90)</f>
        <v>692935.8904</v>
      </c>
      <c r="S83" s="141"/>
      <c r="T83" s="125" t="n">
        <f aca="false">IFERROR(R83/P83,0)</f>
        <v>1.04</v>
      </c>
      <c r="U83" s="147" t="s">
        <v>219</v>
      </c>
      <c r="V83" s="147"/>
      <c r="W83" s="147"/>
    </row>
    <row r="84" s="130" customFormat="true" ht="36" hidden="false" customHeight="true" outlineLevel="0" collapsed="false">
      <c r="A84" s="112"/>
      <c r="B84" s="142"/>
      <c r="C84" s="122" t="s">
        <v>31</v>
      </c>
      <c r="D84" s="116" t="s">
        <v>58</v>
      </c>
      <c r="E84" s="116" t="s">
        <v>43</v>
      </c>
      <c r="F84" s="140" t="n">
        <f aca="false">SUM(G84:S84)</f>
        <v>521240.02975557</v>
      </c>
      <c r="G84" s="144" t="n">
        <f aca="false">211462.82619</f>
        <v>211462.82619</v>
      </c>
      <c r="H84" s="140" t="n">
        <v>38620.2</v>
      </c>
      <c r="I84" s="125" t="n">
        <f aca="false">IFERROR(H84/G84,0)</f>
        <v>0.182633518599149</v>
      </c>
      <c r="J84" s="140" t="n">
        <f aca="false">251649.0614+19500.7386</f>
        <v>271149.8</v>
      </c>
      <c r="K84" s="125" t="n">
        <f aca="false">IFERROR(J84/H84,0)</f>
        <v>7.02093205110279</v>
      </c>
      <c r="L84" s="144" t="n">
        <v>0</v>
      </c>
      <c r="M84" s="125"/>
      <c r="N84" s="144" t="n">
        <v>0</v>
      </c>
      <c r="O84" s="125"/>
      <c r="P84" s="144" t="n">
        <v>0</v>
      </c>
      <c r="Q84" s="125"/>
      <c r="R84" s="126" t="n">
        <f aca="false">P84*104/100</f>
        <v>0</v>
      </c>
      <c r="S84" s="141"/>
      <c r="T84" s="125"/>
      <c r="U84" s="147"/>
      <c r="V84" s="147"/>
      <c r="W84" s="147"/>
    </row>
    <row r="85" s="130" customFormat="true" ht="27.6" hidden="false" customHeight="false" outlineLevel="0" collapsed="false">
      <c r="A85" s="112"/>
      <c r="B85" s="142"/>
      <c r="C85" s="122" t="s">
        <v>32</v>
      </c>
      <c r="D85" s="116" t="s">
        <v>58</v>
      </c>
      <c r="E85" s="116" t="s">
        <v>43</v>
      </c>
      <c r="F85" s="140" t="n">
        <f aca="false">SUM(G85:S85)</f>
        <v>3479066.01148005</v>
      </c>
      <c r="G85" s="144" t="n">
        <v>81412.3268</v>
      </c>
      <c r="H85" s="140" t="n">
        <v>479512.83176</v>
      </c>
      <c r="I85" s="125" t="n">
        <f aca="false">IFERROR(H85/G85,0)</f>
        <v>5.88992908823237</v>
      </c>
      <c r="J85" s="140" t="n">
        <v>309024.37581</v>
      </c>
      <c r="K85" s="125" t="n">
        <f aca="false">IFERROR(J85/H85,0)</f>
        <v>0.644454861980981</v>
      </c>
      <c r="L85" s="140" t="n">
        <v>464006.03937</v>
      </c>
      <c r="M85" s="125" t="n">
        <f aca="false">IFERROR(L85/J85,0)</f>
        <v>1.50151921884405</v>
      </c>
      <c r="N85" s="140" t="n">
        <v>814408.472</v>
      </c>
      <c r="O85" s="125" t="n">
        <f aca="false">IFERROR(N85/L85,0)</f>
        <v>1.75516782735362</v>
      </c>
      <c r="P85" s="140" t="n">
        <v>652299.693</v>
      </c>
      <c r="Q85" s="125" t="n">
        <f aca="false">IFERROR(P85/N85,0)</f>
        <v>0.800949051276569</v>
      </c>
      <c r="R85" s="126" t="n">
        <f aca="false">P85*104/100</f>
        <v>678391.68072</v>
      </c>
      <c r="S85" s="141"/>
      <c r="T85" s="125" t="n">
        <f aca="false">IFERROR(R85/P85,0)</f>
        <v>1.04</v>
      </c>
      <c r="U85" s="147"/>
      <c r="V85" s="147"/>
      <c r="W85" s="147"/>
    </row>
    <row r="86" s="130" customFormat="true" ht="25.5" hidden="false" customHeight="true" outlineLevel="0" collapsed="false">
      <c r="A86" s="112"/>
      <c r="B86" s="142"/>
      <c r="C86" s="122" t="s">
        <v>33</v>
      </c>
      <c r="D86" s="116" t="s">
        <v>58</v>
      </c>
      <c r="E86" s="116" t="s">
        <v>43</v>
      </c>
      <c r="F86" s="140" t="n">
        <f aca="false">SUM(G86:S86)</f>
        <v>3308.70946495774</v>
      </c>
      <c r="G86" s="140" t="n">
        <v>762.69785</v>
      </c>
      <c r="H86" s="140" t="n">
        <v>1017.64254</v>
      </c>
      <c r="I86" s="125" t="n">
        <f aca="false">IFERROR(H86/G86,0)</f>
        <v>1.33426695774742</v>
      </c>
      <c r="J86" s="140" t="n">
        <v>1525.53572</v>
      </c>
      <c r="K86" s="125" t="n">
        <f aca="false">IFERROR(J86/H86,0)</f>
        <v>1.49908799999654</v>
      </c>
      <c r="L86" s="140"/>
      <c r="M86" s="125"/>
      <c r="N86" s="140"/>
      <c r="O86" s="125"/>
      <c r="P86" s="140"/>
      <c r="Q86" s="125"/>
      <c r="R86" s="126" t="n">
        <f aca="false">P86*104/100</f>
        <v>0</v>
      </c>
      <c r="S86" s="141"/>
      <c r="T86" s="125"/>
      <c r="U86" s="147"/>
      <c r="V86" s="147"/>
      <c r="W86" s="147"/>
    </row>
    <row r="87" s="130" customFormat="true" ht="31.95" hidden="false" customHeight="true" outlineLevel="0" collapsed="false">
      <c r="A87" s="112"/>
      <c r="B87" s="142"/>
      <c r="C87" s="122" t="s">
        <v>31</v>
      </c>
      <c r="D87" s="116" t="s">
        <v>42</v>
      </c>
      <c r="E87" s="116" t="s">
        <v>43</v>
      </c>
      <c r="F87" s="140" t="n">
        <f aca="false">SUM(G87:S87)</f>
        <v>21070.4</v>
      </c>
      <c r="G87" s="140" t="n">
        <v>21070.4</v>
      </c>
      <c r="H87" s="140" t="n">
        <v>0</v>
      </c>
      <c r="I87" s="125"/>
      <c r="J87" s="140"/>
      <c r="K87" s="125"/>
      <c r="L87" s="140"/>
      <c r="M87" s="125"/>
      <c r="N87" s="140"/>
      <c r="O87" s="125"/>
      <c r="P87" s="140"/>
      <c r="Q87" s="125"/>
      <c r="R87" s="126" t="n">
        <f aca="false">P87*104/100</f>
        <v>0</v>
      </c>
      <c r="S87" s="141"/>
      <c r="T87" s="125"/>
      <c r="U87" s="129"/>
      <c r="V87" s="129"/>
      <c r="W87" s="129"/>
    </row>
    <row r="88" s="130" customFormat="true" ht="27.6" hidden="false" customHeight="false" outlineLevel="0" collapsed="false">
      <c r="A88" s="112"/>
      <c r="B88" s="142"/>
      <c r="C88" s="122" t="s">
        <v>32</v>
      </c>
      <c r="D88" s="116" t="s">
        <v>42</v>
      </c>
      <c r="E88" s="116" t="s">
        <v>43</v>
      </c>
      <c r="F88" s="140" t="n">
        <f aca="false">SUM(G88:S88)</f>
        <v>942064.825965446</v>
      </c>
      <c r="G88" s="140" t="n">
        <v>170177.0931</v>
      </c>
      <c r="H88" s="140" t="n">
        <v>126785.10445</v>
      </c>
      <c r="I88" s="125" t="n">
        <f aca="false">IFERROR(H88/G88,0)</f>
        <v>0.745018628185746</v>
      </c>
      <c r="J88" s="140" t="n">
        <v>444293.69557</v>
      </c>
      <c r="K88" s="125" t="n">
        <f aca="false">IFERROR(J88/H88,0)</f>
        <v>3.50430515869642</v>
      </c>
      <c r="L88" s="140" t="n">
        <v>158289.39522</v>
      </c>
      <c r="M88" s="125" t="n">
        <f aca="false">IFERROR(L88/J88,0)</f>
        <v>0.356271981345414</v>
      </c>
      <c r="N88" s="140" t="n">
        <v>13984.817</v>
      </c>
      <c r="O88" s="125" t="n">
        <f aca="false">IFERROR(N88/L88,0)</f>
        <v>0.0883496773777111</v>
      </c>
      <c r="P88" s="140" t="n">
        <v>13984.817</v>
      </c>
      <c r="Q88" s="125" t="n">
        <f aca="false">IFERROR(P88/N88,0)</f>
        <v>1</v>
      </c>
      <c r="R88" s="126" t="n">
        <f aca="false">P88*104/100</f>
        <v>14544.20968</v>
      </c>
      <c r="S88" s="141"/>
      <c r="T88" s="125" t="n">
        <f aca="false">IFERROR(R88/P88,0)</f>
        <v>1.04</v>
      </c>
      <c r="U88" s="129"/>
      <c r="V88" s="129"/>
      <c r="W88" s="129"/>
    </row>
    <row r="89" s="130" customFormat="true" ht="27.6" hidden="false" customHeight="false" outlineLevel="0" collapsed="false">
      <c r="A89" s="112"/>
      <c r="B89" s="142"/>
      <c r="C89" s="122" t="s">
        <v>33</v>
      </c>
      <c r="D89" s="116" t="s">
        <v>42</v>
      </c>
      <c r="E89" s="116" t="s">
        <v>43</v>
      </c>
      <c r="F89" s="140" t="n">
        <f aca="false">SUM(G89:R89)</f>
        <v>1195.95379147628</v>
      </c>
      <c r="G89" s="140" t="n">
        <v>1146.99031</v>
      </c>
      <c r="H89" s="140" t="n">
        <v>48.92083</v>
      </c>
      <c r="I89" s="125" t="n">
        <f aca="false">IFERROR(H89/G89,0)</f>
        <v>0.0426514762796906</v>
      </c>
      <c r="J89" s="140" t="n">
        <v>0</v>
      </c>
      <c r="K89" s="125"/>
      <c r="L89" s="140"/>
      <c r="M89" s="125"/>
      <c r="N89" s="140"/>
      <c r="O89" s="125"/>
      <c r="P89" s="140"/>
      <c r="Q89" s="125"/>
      <c r="R89" s="126" t="n">
        <f aca="false">P89*104/100</f>
        <v>0</v>
      </c>
      <c r="S89" s="141"/>
      <c r="T89" s="125"/>
      <c r="U89" s="135" t="n">
        <f aca="false">G86+G89</f>
        <v>1909.68816</v>
      </c>
      <c r="V89" s="129"/>
      <c r="W89" s="129"/>
    </row>
    <row r="90" s="130" customFormat="true" ht="27.6" hidden="false" customHeight="false" outlineLevel="0" collapsed="false">
      <c r="A90" s="112"/>
      <c r="B90" s="142"/>
      <c r="C90" s="122" t="s">
        <v>31</v>
      </c>
      <c r="D90" s="116" t="s">
        <v>59</v>
      </c>
      <c r="E90" s="116" t="s">
        <v>43</v>
      </c>
      <c r="F90" s="140" t="n">
        <f aca="false">SUM(G90:R90)</f>
        <v>76918</v>
      </c>
      <c r="G90" s="140" t="n">
        <v>0</v>
      </c>
      <c r="H90" s="140" t="n">
        <v>76918</v>
      </c>
      <c r="I90" s="125"/>
      <c r="J90" s="140" t="n">
        <v>0</v>
      </c>
      <c r="K90" s="125"/>
      <c r="L90" s="140" t="n">
        <v>0</v>
      </c>
      <c r="M90" s="125"/>
      <c r="N90" s="140" t="n">
        <v>0</v>
      </c>
      <c r="O90" s="125"/>
      <c r="P90" s="140" t="n">
        <v>0</v>
      </c>
      <c r="Q90" s="125"/>
      <c r="R90" s="126" t="n">
        <f aca="false">P90*104/100</f>
        <v>0</v>
      </c>
      <c r="S90" s="141"/>
      <c r="T90" s="125"/>
      <c r="U90" s="135"/>
      <c r="V90" s="129"/>
      <c r="W90" s="129"/>
    </row>
    <row r="91" s="130" customFormat="true" ht="30.75" hidden="false" customHeight="true" outlineLevel="0" collapsed="false">
      <c r="A91" s="112" t="s">
        <v>220</v>
      </c>
      <c r="B91" s="142" t="s">
        <v>61</v>
      </c>
      <c r="C91" s="122" t="s">
        <v>30</v>
      </c>
      <c r="D91" s="116" t="s">
        <v>42</v>
      </c>
      <c r="E91" s="116" t="s">
        <v>43</v>
      </c>
      <c r="F91" s="140" t="n">
        <f aca="false">SUM(G91:S91)</f>
        <v>158800.100688133</v>
      </c>
      <c r="G91" s="140" t="n">
        <f aca="false">SUM(G92:G97)</f>
        <v>7258.65089</v>
      </c>
      <c r="H91" s="140" t="n">
        <f aca="false">SUM(H92:H97)</f>
        <v>10272.67126</v>
      </c>
      <c r="I91" s="125" t="n">
        <f aca="false">IFERROR(H91/G91,0)</f>
        <v>1.41523148249936</v>
      </c>
      <c r="J91" s="140" t="n">
        <f aca="false">SUM(J92:J97)</f>
        <v>21904.48647</v>
      </c>
      <c r="K91" s="125" t="n">
        <f aca="false">IFERROR(J91/H91,0)</f>
        <v>2.13230676964153</v>
      </c>
      <c r="L91" s="140" t="n">
        <f aca="false">SUM(L92:L97)</f>
        <v>31560.63518</v>
      </c>
      <c r="M91" s="125" t="n">
        <f aca="false">IFERROR(L91/J91,0)</f>
        <v>1.44082972331832</v>
      </c>
      <c r="N91" s="140" t="n">
        <f aca="false">SUM(N92:N97)</f>
        <v>28880.511</v>
      </c>
      <c r="O91" s="125" t="n">
        <f aca="false">IFERROR(N91/L91,0)</f>
        <v>0.915080157141501</v>
      </c>
      <c r="P91" s="140" t="n">
        <f aca="false">SUM(P92:P97)</f>
        <v>28880.511</v>
      </c>
      <c r="Q91" s="125" t="n">
        <f aca="false">IFERROR(P91/N91,0)</f>
        <v>1</v>
      </c>
      <c r="R91" s="140" t="n">
        <f aca="false">SUM(R92:R97)</f>
        <v>30035.73144</v>
      </c>
      <c r="S91" s="141" t="n">
        <f aca="false">SUM(S92:S97)</f>
        <v>0</v>
      </c>
      <c r="T91" s="125" t="n">
        <f aca="false">IFERROR(R91/P91,0)</f>
        <v>1.04</v>
      </c>
      <c r="U91" s="129"/>
      <c r="V91" s="129"/>
      <c r="W91" s="129"/>
    </row>
    <row r="92" s="130" customFormat="true" ht="31.95" hidden="false" customHeight="true" outlineLevel="0" collapsed="false">
      <c r="A92" s="112"/>
      <c r="B92" s="142"/>
      <c r="C92" s="122" t="s">
        <v>31</v>
      </c>
      <c r="D92" s="116"/>
      <c r="E92" s="116"/>
      <c r="F92" s="140" t="n">
        <f aca="false">SUM(G92:S92)</f>
        <v>0</v>
      </c>
      <c r="G92" s="140"/>
      <c r="H92" s="140"/>
      <c r="I92" s="125"/>
      <c r="J92" s="140"/>
      <c r="K92" s="125"/>
      <c r="L92" s="140"/>
      <c r="M92" s="125"/>
      <c r="N92" s="140"/>
      <c r="O92" s="125"/>
      <c r="P92" s="140"/>
      <c r="Q92" s="125"/>
      <c r="R92" s="126" t="n">
        <f aca="false">P92*104/100</f>
        <v>0</v>
      </c>
      <c r="S92" s="141"/>
      <c r="T92" s="125"/>
      <c r="U92" s="129"/>
      <c r="V92" s="129"/>
      <c r="W92" s="129"/>
    </row>
    <row r="93" s="130" customFormat="true" ht="25.5" hidden="false" customHeight="true" outlineLevel="0" collapsed="false">
      <c r="A93" s="112"/>
      <c r="B93" s="142"/>
      <c r="C93" s="122" t="s">
        <v>32</v>
      </c>
      <c r="D93" s="116"/>
      <c r="E93" s="116"/>
      <c r="F93" s="140" t="n">
        <f aca="false">SUM(G93:S93)</f>
        <v>158800.100688133</v>
      </c>
      <c r="G93" s="140" t="n">
        <v>7258.65089</v>
      </c>
      <c r="H93" s="140" t="n">
        <v>10272.67126</v>
      </c>
      <c r="I93" s="125" t="n">
        <f aca="false">IFERROR(H93/G93,0)</f>
        <v>1.41523148249936</v>
      </c>
      <c r="J93" s="140" t="n">
        <f aca="false">21474.48647+430</f>
        <v>21904.48647</v>
      </c>
      <c r="K93" s="125" t="n">
        <f aca="false">IFERROR(J93/H93,0)</f>
        <v>2.13230676964153</v>
      </c>
      <c r="L93" s="140" t="n">
        <v>31560.63518</v>
      </c>
      <c r="M93" s="125" t="n">
        <f aca="false">IFERROR(L93/J93,0)</f>
        <v>1.44082972331832</v>
      </c>
      <c r="N93" s="140" t="n">
        <v>28880.511</v>
      </c>
      <c r="O93" s="125" t="n">
        <f aca="false">IFERROR(N93/L93,0)</f>
        <v>0.915080157141501</v>
      </c>
      <c r="P93" s="140" t="n">
        <v>28880.511</v>
      </c>
      <c r="Q93" s="125" t="n">
        <f aca="false">IFERROR(P93/N93,0)</f>
        <v>1</v>
      </c>
      <c r="R93" s="126" t="n">
        <f aca="false">P93*104/100</f>
        <v>30035.73144</v>
      </c>
      <c r="S93" s="141"/>
      <c r="T93" s="125" t="n">
        <f aca="false">IFERROR(R93/P93,0)</f>
        <v>1.04</v>
      </c>
      <c r="U93" s="129"/>
      <c r="V93" s="129"/>
      <c r="W93" s="129"/>
    </row>
    <row r="94" s="130" customFormat="true" ht="27.6" hidden="false" customHeight="false" outlineLevel="0" collapsed="false">
      <c r="A94" s="112"/>
      <c r="B94" s="142"/>
      <c r="C94" s="122" t="s">
        <v>33</v>
      </c>
      <c r="D94" s="116"/>
      <c r="E94" s="116"/>
      <c r="F94" s="140" t="n">
        <f aca="false">SUM(G94:S94)</f>
        <v>0</v>
      </c>
      <c r="G94" s="140"/>
      <c r="H94" s="140"/>
      <c r="I94" s="125"/>
      <c r="J94" s="140"/>
      <c r="K94" s="125"/>
      <c r="L94" s="140"/>
      <c r="M94" s="125"/>
      <c r="N94" s="140"/>
      <c r="O94" s="125"/>
      <c r="P94" s="140"/>
      <c r="Q94" s="125"/>
      <c r="R94" s="126" t="n">
        <f aca="false">P94*104/100</f>
        <v>0</v>
      </c>
      <c r="S94" s="141"/>
      <c r="T94" s="125"/>
      <c r="U94" s="129"/>
      <c r="V94" s="129"/>
      <c r="W94" s="129"/>
    </row>
    <row r="95" s="130" customFormat="true" ht="39.75" hidden="false" customHeight="true" outlineLevel="0" collapsed="false">
      <c r="A95" s="112"/>
      <c r="B95" s="142"/>
      <c r="C95" s="122" t="s">
        <v>34</v>
      </c>
      <c r="D95" s="116"/>
      <c r="E95" s="116"/>
      <c r="F95" s="140"/>
      <c r="G95" s="140"/>
      <c r="H95" s="140"/>
      <c r="I95" s="125"/>
      <c r="J95" s="140"/>
      <c r="K95" s="125"/>
      <c r="L95" s="140"/>
      <c r="M95" s="125"/>
      <c r="N95" s="140"/>
      <c r="O95" s="125"/>
      <c r="P95" s="140"/>
      <c r="Q95" s="125"/>
      <c r="R95" s="126" t="n">
        <f aca="false">P95*104/100</f>
        <v>0</v>
      </c>
      <c r="S95" s="141"/>
      <c r="T95" s="125"/>
      <c r="U95" s="129"/>
      <c r="V95" s="129"/>
      <c r="W95" s="129"/>
    </row>
    <row r="96" s="130" customFormat="true" ht="21.45" hidden="false" customHeight="true" outlineLevel="0" collapsed="false">
      <c r="A96" s="112"/>
      <c r="B96" s="142"/>
      <c r="C96" s="122" t="s">
        <v>35</v>
      </c>
      <c r="D96" s="116"/>
      <c r="E96" s="116"/>
      <c r="F96" s="140"/>
      <c r="G96" s="140"/>
      <c r="H96" s="140"/>
      <c r="I96" s="125"/>
      <c r="J96" s="140"/>
      <c r="K96" s="125"/>
      <c r="L96" s="140"/>
      <c r="M96" s="125"/>
      <c r="N96" s="140"/>
      <c r="O96" s="125"/>
      <c r="P96" s="140"/>
      <c r="Q96" s="125"/>
      <c r="R96" s="126" t="n">
        <f aca="false">P96*104/100</f>
        <v>0</v>
      </c>
      <c r="S96" s="141"/>
      <c r="T96" s="125"/>
      <c r="U96" s="129"/>
      <c r="V96" s="129"/>
      <c r="W96" s="129"/>
    </row>
    <row r="97" s="130" customFormat="true" ht="33" hidden="false" customHeight="true" outlineLevel="0" collapsed="false">
      <c r="A97" s="112"/>
      <c r="B97" s="142"/>
      <c r="C97" s="122" t="s">
        <v>36</v>
      </c>
      <c r="D97" s="116"/>
      <c r="E97" s="116"/>
      <c r="F97" s="140"/>
      <c r="G97" s="140"/>
      <c r="H97" s="140"/>
      <c r="I97" s="125"/>
      <c r="J97" s="140"/>
      <c r="K97" s="125"/>
      <c r="L97" s="140"/>
      <c r="M97" s="125"/>
      <c r="N97" s="140"/>
      <c r="O97" s="125"/>
      <c r="P97" s="140"/>
      <c r="Q97" s="125"/>
      <c r="R97" s="126" t="n">
        <f aca="false">P97*104/100</f>
        <v>0</v>
      </c>
      <c r="S97" s="141"/>
      <c r="T97" s="125"/>
      <c r="U97" s="129"/>
      <c r="V97" s="129"/>
      <c r="W97" s="129"/>
    </row>
    <row r="98" s="130" customFormat="true" ht="23.25" hidden="false" customHeight="true" outlineLevel="0" collapsed="false">
      <c r="A98" s="112" t="s">
        <v>221</v>
      </c>
      <c r="B98" s="142" t="s">
        <v>63</v>
      </c>
      <c r="C98" s="122" t="s">
        <v>30</v>
      </c>
      <c r="D98" s="116" t="s">
        <v>42</v>
      </c>
      <c r="E98" s="116" t="s">
        <v>43</v>
      </c>
      <c r="F98" s="140" t="n">
        <f aca="false">SUM(G98:R98)</f>
        <v>499112.921590591</v>
      </c>
      <c r="G98" s="140" t="n">
        <f aca="false">SUM(G99:G102)</f>
        <v>0</v>
      </c>
      <c r="H98" s="140" t="n">
        <f aca="false">SUM(H99:H102)</f>
        <v>27249.62607</v>
      </c>
      <c r="I98" s="125"/>
      <c r="J98" s="140" t="n">
        <f aca="false">SUM(J99:J102)</f>
        <v>80286.88927</v>
      </c>
      <c r="K98" s="125" t="n">
        <f aca="false">IFERROR(J98/H98,0)</f>
        <v>2.94634829350523</v>
      </c>
      <c r="L98" s="140" t="n">
        <f aca="false">SUM(L99:L102)</f>
        <v>90294.0493</v>
      </c>
      <c r="M98" s="125" t="n">
        <f aca="false">IFERROR(L98/J98,0)</f>
        <v>1.12464251786299</v>
      </c>
      <c r="N98" s="140" t="n">
        <f aca="false">SUM(N99:N102)</f>
        <v>96809.045</v>
      </c>
      <c r="O98" s="125" t="n">
        <f aca="false">IFERROR(N98/L98,0)</f>
        <v>1.07215310145582</v>
      </c>
      <c r="P98" s="140" t="n">
        <f aca="false">SUM(P99:P102)</f>
        <v>100228.987</v>
      </c>
      <c r="Q98" s="125" t="n">
        <f aca="false">IFERROR(P98/N98,0)</f>
        <v>1.03532667841109</v>
      </c>
      <c r="R98" s="140" t="n">
        <f aca="false">SUM(R99:R102)</f>
        <v>104238.14648</v>
      </c>
      <c r="S98" s="141"/>
      <c r="T98" s="125" t="n">
        <f aca="false">IFERROR(R98/P98,0)</f>
        <v>1.04</v>
      </c>
      <c r="U98" s="129"/>
      <c r="V98" s="129"/>
      <c r="W98" s="129"/>
    </row>
    <row r="99" s="130" customFormat="true" ht="37.5" hidden="false" customHeight="true" outlineLevel="0" collapsed="false">
      <c r="A99" s="112"/>
      <c r="B99" s="142"/>
      <c r="C99" s="122" t="s">
        <v>31</v>
      </c>
      <c r="D99" s="116"/>
      <c r="E99" s="116"/>
      <c r="F99" s="140" t="n">
        <f aca="false">SUM(G99:R99)</f>
        <v>0</v>
      </c>
      <c r="G99" s="140"/>
      <c r="H99" s="140"/>
      <c r="I99" s="125"/>
      <c r="J99" s="140"/>
      <c r="K99" s="125"/>
      <c r="L99" s="140"/>
      <c r="M99" s="125"/>
      <c r="N99" s="140"/>
      <c r="O99" s="125"/>
      <c r="P99" s="140"/>
      <c r="Q99" s="125"/>
      <c r="R99" s="126" t="n">
        <f aca="false">P99*104/100</f>
        <v>0</v>
      </c>
      <c r="S99" s="141"/>
      <c r="T99" s="125"/>
      <c r="U99" s="129"/>
      <c r="V99" s="129"/>
      <c r="W99" s="129"/>
    </row>
    <row r="100" s="130" customFormat="true" ht="20.25" hidden="false" customHeight="true" outlineLevel="0" collapsed="false">
      <c r="A100" s="112"/>
      <c r="B100" s="142"/>
      <c r="C100" s="122" t="s">
        <v>32</v>
      </c>
      <c r="D100" s="116"/>
      <c r="E100" s="116"/>
      <c r="F100" s="140" t="n">
        <f aca="false">SUM(G100:R100)</f>
        <v>499112.921590591</v>
      </c>
      <c r="G100" s="140" t="n">
        <v>0</v>
      </c>
      <c r="H100" s="140" t="n">
        <v>27249.62607</v>
      </c>
      <c r="I100" s="125"/>
      <c r="J100" s="140" t="n">
        <v>80286.88927</v>
      </c>
      <c r="K100" s="125" t="n">
        <f aca="false">IFERROR(J100/H100, 0)</f>
        <v>2.94634829350523</v>
      </c>
      <c r="L100" s="140" t="n">
        <v>90294.0493</v>
      </c>
      <c r="M100" s="125" t="n">
        <f aca="false">IFERROR(L100/J100, 0)</f>
        <v>1.12464251786299</v>
      </c>
      <c r="N100" s="140" t="n">
        <v>96809.045</v>
      </c>
      <c r="O100" s="125" t="n">
        <f aca="false">IFERROR(N100/L100, 0)</f>
        <v>1.07215310145582</v>
      </c>
      <c r="P100" s="140" t="n">
        <v>100228.987</v>
      </c>
      <c r="Q100" s="125" t="n">
        <f aca="false">IFERROR(P100/N100, 0)</f>
        <v>1.03532667841109</v>
      </c>
      <c r="R100" s="126" t="n">
        <f aca="false">P100*104/100</f>
        <v>104238.14648</v>
      </c>
      <c r="S100" s="141"/>
      <c r="T100" s="125" t="n">
        <f aca="false">IFERROR(R100/P100, 0)</f>
        <v>1.04</v>
      </c>
      <c r="U100" s="129"/>
      <c r="V100" s="129"/>
      <c r="W100" s="129"/>
    </row>
    <row r="101" s="130" customFormat="true" ht="18.75" hidden="false" customHeight="true" outlineLevel="0" collapsed="false">
      <c r="A101" s="112"/>
      <c r="B101" s="142"/>
      <c r="C101" s="122" t="s">
        <v>33</v>
      </c>
      <c r="D101" s="116"/>
      <c r="E101" s="116"/>
      <c r="F101" s="140" t="n">
        <f aca="false">SUM(G101:R101)</f>
        <v>0</v>
      </c>
      <c r="G101" s="140"/>
      <c r="H101" s="140"/>
      <c r="I101" s="125"/>
      <c r="J101" s="140"/>
      <c r="K101" s="125"/>
      <c r="L101" s="140"/>
      <c r="M101" s="125"/>
      <c r="N101" s="140"/>
      <c r="O101" s="125"/>
      <c r="P101" s="140"/>
      <c r="Q101" s="125"/>
      <c r="R101" s="126" t="n">
        <f aca="false">P101*104/100</f>
        <v>0</v>
      </c>
      <c r="S101" s="141"/>
      <c r="T101" s="125"/>
      <c r="U101" s="129"/>
      <c r="V101" s="129"/>
      <c r="W101" s="129"/>
    </row>
    <row r="102" s="130" customFormat="true" ht="19.5" hidden="false" customHeight="true" outlineLevel="0" collapsed="false">
      <c r="A102" s="112"/>
      <c r="B102" s="142"/>
      <c r="C102" s="122" t="s">
        <v>34</v>
      </c>
      <c r="D102" s="116"/>
      <c r="E102" s="116"/>
      <c r="F102" s="140" t="n">
        <f aca="false">SUM(G102:R102)</f>
        <v>0</v>
      </c>
      <c r="G102" s="140"/>
      <c r="H102" s="140"/>
      <c r="I102" s="125"/>
      <c r="J102" s="140"/>
      <c r="K102" s="125"/>
      <c r="L102" s="140"/>
      <c r="M102" s="125"/>
      <c r="N102" s="140"/>
      <c r="O102" s="125"/>
      <c r="P102" s="140"/>
      <c r="Q102" s="125"/>
      <c r="R102" s="126" t="n">
        <f aca="false">P102*104/100</f>
        <v>0</v>
      </c>
      <c r="S102" s="141"/>
      <c r="T102" s="125"/>
      <c r="U102" s="129"/>
      <c r="V102" s="129"/>
      <c r="W102" s="129"/>
    </row>
    <row r="103" s="130" customFormat="true" ht="19.5" hidden="false" customHeight="true" outlineLevel="0" collapsed="false">
      <c r="A103" s="112"/>
      <c r="B103" s="142"/>
      <c r="C103" s="122" t="s">
        <v>35</v>
      </c>
      <c r="D103" s="116"/>
      <c r="E103" s="116"/>
      <c r="F103" s="140"/>
      <c r="G103" s="140"/>
      <c r="H103" s="140"/>
      <c r="I103" s="125"/>
      <c r="J103" s="140"/>
      <c r="K103" s="125"/>
      <c r="L103" s="140"/>
      <c r="M103" s="125"/>
      <c r="N103" s="140"/>
      <c r="O103" s="125"/>
      <c r="P103" s="140"/>
      <c r="Q103" s="125"/>
      <c r="R103" s="126" t="n">
        <f aca="false">P103*104/100</f>
        <v>0</v>
      </c>
      <c r="S103" s="141"/>
      <c r="T103" s="125"/>
      <c r="U103" s="129"/>
      <c r="V103" s="129"/>
      <c r="W103" s="129"/>
    </row>
    <row r="104" s="130" customFormat="true" ht="31.95" hidden="false" customHeight="true" outlineLevel="0" collapsed="false">
      <c r="A104" s="112"/>
      <c r="B104" s="142"/>
      <c r="C104" s="122" t="s">
        <v>36</v>
      </c>
      <c r="D104" s="116"/>
      <c r="E104" s="116"/>
      <c r="F104" s="140"/>
      <c r="G104" s="140"/>
      <c r="H104" s="140"/>
      <c r="I104" s="125"/>
      <c r="J104" s="140"/>
      <c r="K104" s="125"/>
      <c r="L104" s="140"/>
      <c r="M104" s="125"/>
      <c r="N104" s="140"/>
      <c r="O104" s="125"/>
      <c r="P104" s="140"/>
      <c r="Q104" s="125"/>
      <c r="R104" s="126" t="n">
        <f aca="false">P104*104/100</f>
        <v>0</v>
      </c>
      <c r="S104" s="141"/>
      <c r="T104" s="125"/>
      <c r="U104" s="129"/>
      <c r="V104" s="129"/>
      <c r="W104" s="129"/>
    </row>
    <row r="105" s="130" customFormat="true" ht="36" hidden="true" customHeight="true" outlineLevel="0" collapsed="false">
      <c r="A105" s="112"/>
      <c r="B105" s="142"/>
      <c r="C105" s="122"/>
      <c r="D105" s="132"/>
      <c r="E105" s="132"/>
      <c r="F105" s="126"/>
      <c r="G105" s="126"/>
      <c r="H105" s="126"/>
      <c r="I105" s="125" t="n">
        <f aca="false">IFERROR(H105/G105, 0)</f>
        <v>0</v>
      </c>
      <c r="J105" s="126"/>
      <c r="K105" s="125" t="n">
        <f aca="false">IFERROR(J105/H105, 0)</f>
        <v>0</v>
      </c>
      <c r="L105" s="126"/>
      <c r="M105" s="125" t="n">
        <f aca="false">IFERROR(L105/J105, 0)</f>
        <v>0</v>
      </c>
      <c r="N105" s="126"/>
      <c r="O105" s="125" t="n">
        <f aca="false">IFERROR(N105/L105, 0)</f>
        <v>0</v>
      </c>
      <c r="P105" s="126"/>
      <c r="Q105" s="125" t="n">
        <f aca="false">IFERROR(P105/N105, 0)</f>
        <v>0</v>
      </c>
      <c r="R105" s="126" t="n">
        <f aca="false">P105*104/100</f>
        <v>0</v>
      </c>
      <c r="S105" s="127"/>
      <c r="T105" s="125" t="n">
        <f aca="false">IFERROR(R105/P105, 0)</f>
        <v>0</v>
      </c>
      <c r="U105" s="129"/>
      <c r="V105" s="129"/>
      <c r="W105" s="129"/>
    </row>
    <row r="106" s="130" customFormat="true" ht="18" hidden="false" customHeight="true" outlineLevel="0" collapsed="false">
      <c r="A106" s="112" t="s">
        <v>222</v>
      </c>
      <c r="B106" s="142" t="s">
        <v>114</v>
      </c>
      <c r="C106" s="122" t="s">
        <v>30</v>
      </c>
      <c r="D106" s="148"/>
      <c r="E106" s="148"/>
      <c r="F106" s="124" t="n">
        <f aca="false">F113+F120+F127+F137+F144+F151+F158+F171+F178</f>
        <v>8306660.43726009</v>
      </c>
      <c r="G106" s="124" t="n">
        <f aca="false">G113+G120+G127+G137+G144+G151+G158+G171+G178</f>
        <v>1139817.10182</v>
      </c>
      <c r="H106" s="124" t="n">
        <f aca="false">H113+H120+H127+H137+H144+H151+H158+H171+H178</f>
        <v>1182430.1767</v>
      </c>
      <c r="I106" s="125" t="n">
        <f aca="false">IFERROR(H106/G106, 0)</f>
        <v>1.03738588832538</v>
      </c>
      <c r="J106" s="124" t="n">
        <f aca="false">J113+J120+J127+J137+J144+J151+J158+J171+J178</f>
        <v>1182197.57958</v>
      </c>
      <c r="K106" s="125" t="n">
        <f aca="false">IFERROR(J106/H106, 0)</f>
        <v>0.999803288917533</v>
      </c>
      <c r="L106" s="124" t="n">
        <f aca="false">L113+L120+L127+L137+L144+L151+L158+L171+L178</f>
        <v>1136383.57551</v>
      </c>
      <c r="M106" s="125" t="n">
        <f aca="false">IFERROR(L106/J106, 0)</f>
        <v>0.96124674516228</v>
      </c>
      <c r="N106" s="124" t="n">
        <f aca="false">N113+N120+N127+N137+N144+N151+N158+N171+N178</f>
        <v>1199160.514</v>
      </c>
      <c r="O106" s="125" t="n">
        <f aca="false">IFERROR(N106/L106, 0)</f>
        <v>1.05524273655735</v>
      </c>
      <c r="P106" s="124" t="n">
        <f aca="false">P113+P120+P127+P137+P144+P151+P158+P171+P178</f>
        <v>1209126.576</v>
      </c>
      <c r="Q106" s="125" t="n">
        <f aca="false">IFERROR(P106/N106, 0)</f>
        <v>1.00831086571284</v>
      </c>
      <c r="R106" s="126" t="n">
        <f aca="false">R113+R120+R127+R137+R144+R151+R158+R171+R178</f>
        <v>1257491.63904</v>
      </c>
      <c r="S106" s="127"/>
      <c r="T106" s="125" t="n">
        <f aca="false">IFERROR(R106/P106, 0)</f>
        <v>1.04</v>
      </c>
      <c r="U106" s="129"/>
      <c r="V106" s="129"/>
      <c r="W106" s="129"/>
    </row>
    <row r="107" s="130" customFormat="true" ht="37.5" hidden="false" customHeight="true" outlineLevel="0" collapsed="false">
      <c r="A107" s="112"/>
      <c r="B107" s="142"/>
      <c r="C107" s="122" t="s">
        <v>31</v>
      </c>
      <c r="D107" s="132"/>
      <c r="E107" s="132"/>
      <c r="F107" s="126" t="n">
        <f aca="false">SUM(G107:R107)</f>
        <v>1575.93909090909</v>
      </c>
      <c r="G107" s="126" t="n">
        <f aca="false">G114+G121+G128+G138+G145+G152+G159+G172+G179</f>
        <v>640</v>
      </c>
      <c r="H107" s="126" t="n">
        <f aca="false">H114+H121+H128+H138+H145+H152+H159+H172+H179</f>
        <v>563.2</v>
      </c>
      <c r="I107" s="125" t="n">
        <f aca="false">IFERROR(H107/G107, 0)</f>
        <v>0.88</v>
      </c>
      <c r="J107" s="126" t="n">
        <f aca="false">J114+J121+J128+J138+J145+J152+J159+J172+J179</f>
        <v>371.2</v>
      </c>
      <c r="K107" s="125" t="n">
        <f aca="false">IFERROR(J107/H107, 0)</f>
        <v>0.659090909090909</v>
      </c>
      <c r="L107" s="126"/>
      <c r="M107" s="125"/>
      <c r="N107" s="126"/>
      <c r="O107" s="125"/>
      <c r="P107" s="126"/>
      <c r="Q107" s="125"/>
      <c r="R107" s="126" t="n">
        <f aca="false">P107*104/100</f>
        <v>0</v>
      </c>
      <c r="S107" s="127"/>
      <c r="T107" s="125"/>
      <c r="U107" s="129"/>
      <c r="V107" s="129"/>
      <c r="W107" s="129"/>
    </row>
    <row r="108" s="130" customFormat="true" ht="21.45" hidden="false" customHeight="true" outlineLevel="0" collapsed="false">
      <c r="A108" s="112"/>
      <c r="B108" s="142"/>
      <c r="C108" s="122" t="s">
        <v>32</v>
      </c>
      <c r="D108" s="132"/>
      <c r="E108" s="132"/>
      <c r="F108" s="126" t="n">
        <f aca="false">SUM(G108:R108)</f>
        <v>8305037.82519222</v>
      </c>
      <c r="G108" s="126" t="n">
        <f aca="false">G115+G122+G129+G134+G139+G146+G153+G160+G173+G166+G163+G180</f>
        <v>1139177.10182</v>
      </c>
      <c r="H108" s="126" t="n">
        <f aca="false">H115+H122+H129+H134+H139+H146+H153+H160+H173+H166+H163+H180</f>
        <v>1181866.9767</v>
      </c>
      <c r="I108" s="125" t="n">
        <f aca="false">IFERROR(H108/G108, 0)</f>
        <v>1.03747430914104</v>
      </c>
      <c r="J108" s="126" t="n">
        <f aca="false">J115+J122+J129+J134+J139+J146+J153+J160+J173+J166+J163+J180</f>
        <v>1181826.37958</v>
      </c>
      <c r="K108" s="125" t="n">
        <f aca="false">IFERROR(J108/H108, 0)</f>
        <v>0.999965650009011</v>
      </c>
      <c r="L108" s="126" t="n">
        <f aca="false">L115+L122+L129+L134+L139+L146+L153+L160+L173+L166+L163+L180</f>
        <v>1136383.57551</v>
      </c>
      <c r="M108" s="125" t="n">
        <f aca="false">IFERROR(L108/J108, 0)</f>
        <v>0.961548663276454</v>
      </c>
      <c r="N108" s="126" t="n">
        <f aca="false">N115+N122+N129+N134+N139+N146+N153+N160+N173+N166+N163+N180</f>
        <v>1199160.514</v>
      </c>
      <c r="O108" s="125" t="n">
        <f aca="false">IFERROR(N108/L108, 0)</f>
        <v>1.05524273655735</v>
      </c>
      <c r="P108" s="126" t="n">
        <f aca="false">P115+P122+P129+P134+P139+P146+P153+P160+P173+P166+P163+P180</f>
        <v>1209126.576</v>
      </c>
      <c r="Q108" s="125" t="n">
        <f aca="false">IFERROR(P108/N108, 0)</f>
        <v>1.00831086571284</v>
      </c>
      <c r="R108" s="126" t="n">
        <f aca="false">R115+R122+R129+R134+R139+R146+R153+R160+R173+R166+R163+R180</f>
        <v>1257491.63904</v>
      </c>
      <c r="S108" s="127"/>
      <c r="T108" s="125" t="n">
        <f aca="false">IFERROR(R108/P108, 0)</f>
        <v>1.04</v>
      </c>
      <c r="U108" s="129"/>
      <c r="V108" s="129"/>
      <c r="W108" s="129"/>
    </row>
    <row r="109" s="130" customFormat="true" ht="36.75" hidden="false" customHeight="true" outlineLevel="0" collapsed="false">
      <c r="A109" s="112"/>
      <c r="B109" s="142"/>
      <c r="C109" s="122" t="s">
        <v>33</v>
      </c>
      <c r="D109" s="132"/>
      <c r="E109" s="132"/>
      <c r="F109" s="126" t="n">
        <f aca="false">F116+F123+F130+F140+F147+F154+F161+F174+F181</f>
        <v>0</v>
      </c>
      <c r="G109" s="126" t="n">
        <f aca="false">G116+G123+G130+G135+G140+G147+G154+G161+G174+G181</f>
        <v>0</v>
      </c>
      <c r="H109" s="126" t="n">
        <f aca="false">H116+H123+H130+H135+H140+H147+H154+H161+H174+H181</f>
        <v>0</v>
      </c>
      <c r="I109" s="125"/>
      <c r="J109" s="126" t="n">
        <f aca="false">J116+J123+J130+J135+J140+J147+J154+J161+J174+J181</f>
        <v>0</v>
      </c>
      <c r="K109" s="125"/>
      <c r="L109" s="126" t="n">
        <f aca="false">L116+L123+L130+L135+L140+L147+L154+L161+L174+L181</f>
        <v>0</v>
      </c>
      <c r="M109" s="125"/>
      <c r="N109" s="126" t="n">
        <f aca="false">N116+N123+N130+N135+N140+N147+N154+N161+N174+N181</f>
        <v>0</v>
      </c>
      <c r="O109" s="125"/>
      <c r="P109" s="126" t="n">
        <f aca="false">P116+P123+P130+P135+P140+P147+P154+P161+P174+P181</f>
        <v>0</v>
      </c>
      <c r="Q109" s="125"/>
      <c r="R109" s="126" t="n">
        <f aca="false">P109*104/100</f>
        <v>0</v>
      </c>
      <c r="S109" s="127" t="n">
        <f aca="false">S116+S123+S130+S135+S140+S147+S154+S161+S174+S180</f>
        <v>0</v>
      </c>
      <c r="T109" s="125"/>
      <c r="U109" s="129"/>
      <c r="V109" s="129"/>
      <c r="W109" s="129"/>
    </row>
    <row r="110" s="130" customFormat="true" ht="31.95" hidden="false" customHeight="true" outlineLevel="0" collapsed="false">
      <c r="A110" s="112"/>
      <c r="B110" s="142"/>
      <c r="C110" s="122" t="s">
        <v>34</v>
      </c>
      <c r="D110" s="132"/>
      <c r="E110" s="132"/>
      <c r="F110" s="126"/>
      <c r="G110" s="126"/>
      <c r="H110" s="126"/>
      <c r="I110" s="125"/>
      <c r="J110" s="126"/>
      <c r="K110" s="125"/>
      <c r="L110" s="126"/>
      <c r="M110" s="125"/>
      <c r="N110" s="126"/>
      <c r="O110" s="125"/>
      <c r="P110" s="126"/>
      <c r="Q110" s="125"/>
      <c r="R110" s="126" t="n">
        <f aca="false">P110*104/100</f>
        <v>0</v>
      </c>
      <c r="S110" s="127"/>
      <c r="T110" s="125"/>
      <c r="U110" s="129"/>
      <c r="V110" s="129"/>
      <c r="W110" s="129"/>
    </row>
    <row r="111" s="130" customFormat="true" ht="22.95" hidden="false" customHeight="true" outlineLevel="0" collapsed="false">
      <c r="A111" s="112"/>
      <c r="B111" s="142"/>
      <c r="C111" s="122" t="s">
        <v>35</v>
      </c>
      <c r="D111" s="132"/>
      <c r="E111" s="132"/>
      <c r="F111" s="126"/>
      <c r="G111" s="126"/>
      <c r="H111" s="126"/>
      <c r="I111" s="125"/>
      <c r="J111" s="126"/>
      <c r="K111" s="125"/>
      <c r="L111" s="126"/>
      <c r="M111" s="125"/>
      <c r="N111" s="126"/>
      <c r="O111" s="125"/>
      <c r="P111" s="126"/>
      <c r="Q111" s="125"/>
      <c r="R111" s="126" t="n">
        <f aca="false">P111*104/100</f>
        <v>0</v>
      </c>
      <c r="S111" s="127"/>
      <c r="T111" s="125"/>
      <c r="U111" s="129"/>
      <c r="V111" s="129"/>
      <c r="W111" s="129"/>
    </row>
    <row r="112" s="130" customFormat="true" ht="41.4" hidden="false" customHeight="false" outlineLevel="0" collapsed="false">
      <c r="A112" s="112"/>
      <c r="B112" s="142"/>
      <c r="C112" s="122" t="s">
        <v>36</v>
      </c>
      <c r="D112" s="132"/>
      <c r="E112" s="132"/>
      <c r="F112" s="126"/>
      <c r="G112" s="126"/>
      <c r="H112" s="126"/>
      <c r="I112" s="125"/>
      <c r="J112" s="126"/>
      <c r="K112" s="125"/>
      <c r="L112" s="126"/>
      <c r="M112" s="125"/>
      <c r="N112" s="126"/>
      <c r="O112" s="125"/>
      <c r="P112" s="126"/>
      <c r="Q112" s="125"/>
      <c r="R112" s="126" t="n">
        <f aca="false">P112*104/100</f>
        <v>0</v>
      </c>
      <c r="S112" s="127"/>
      <c r="T112" s="125"/>
      <c r="U112" s="129"/>
      <c r="V112" s="129"/>
      <c r="W112" s="129"/>
    </row>
    <row r="113" s="130" customFormat="true" ht="13.9" hidden="false" customHeight="true" outlineLevel="0" collapsed="false">
      <c r="A113" s="149" t="s">
        <v>223</v>
      </c>
      <c r="B113" s="142" t="s">
        <v>224</v>
      </c>
      <c r="C113" s="122" t="s">
        <v>30</v>
      </c>
      <c r="D113" s="132" t="s">
        <v>42</v>
      </c>
      <c r="E113" s="132" t="s">
        <v>115</v>
      </c>
      <c r="F113" s="126" t="n">
        <f aca="false">SUM(G113:R113)</f>
        <v>5793720.82133115</v>
      </c>
      <c r="G113" s="126" t="n">
        <f aca="false">SUM(G114:G119)</f>
        <v>742463.827</v>
      </c>
      <c r="H113" s="126" t="n">
        <f aca="false">SUM(H114:H119)</f>
        <v>798220.28748</v>
      </c>
      <c r="I113" s="125" t="n">
        <f aca="false">IFERROR(H113/G113, 0)</f>
        <v>1.07509653460868</v>
      </c>
      <c r="J113" s="126" t="n">
        <f aca="false">SUM(J114:J119)</f>
        <v>811747.23229</v>
      </c>
      <c r="K113" s="125" t="n">
        <f aca="false">IFERROR(J113/H113, 0)</f>
        <v>1.0169463806197</v>
      </c>
      <c r="L113" s="126" t="n">
        <f aca="false">SUM(L114:L119)</f>
        <v>826584.70531</v>
      </c>
      <c r="M113" s="125" t="n">
        <f aca="false">IFERROR(L113/J113, 0)</f>
        <v>1.01827843992537</v>
      </c>
      <c r="N113" s="126" t="n">
        <f aca="false">SUM(N114:N119)</f>
        <v>856728.464</v>
      </c>
      <c r="O113" s="125" t="n">
        <f aca="false">IFERROR(N113/L113, 0)</f>
        <v>1.03646783989149</v>
      </c>
      <c r="P113" s="126" t="n">
        <f aca="false">SUM(P114:P119)</f>
        <v>861750.565</v>
      </c>
      <c r="Q113" s="125" t="n">
        <f aca="false">IFERROR(P113/N113, 0)</f>
        <v>1.00586195184476</v>
      </c>
      <c r="R113" s="126" t="n">
        <f aca="false">SUM(R114:R119)</f>
        <v>896220.5876</v>
      </c>
      <c r="S113" s="127" t="n">
        <f aca="false">SUM(S114:S119)</f>
        <v>0</v>
      </c>
      <c r="T113" s="125" t="n">
        <f aca="false">IFERROR(R113/P113, 0)</f>
        <v>1.04</v>
      </c>
      <c r="U113" s="129"/>
      <c r="V113" s="129"/>
      <c r="W113" s="129"/>
    </row>
    <row r="114" s="130" customFormat="true" ht="30.45" hidden="false" customHeight="true" outlineLevel="0" collapsed="false">
      <c r="A114" s="149"/>
      <c r="B114" s="142"/>
      <c r="C114" s="122" t="s">
        <v>31</v>
      </c>
      <c r="D114" s="132"/>
      <c r="E114" s="132"/>
      <c r="F114" s="126" t="n">
        <f aca="false">SUM(G114:R114)</f>
        <v>0</v>
      </c>
      <c r="G114" s="126"/>
      <c r="H114" s="126"/>
      <c r="I114" s="125"/>
      <c r="J114" s="126"/>
      <c r="K114" s="125"/>
      <c r="L114" s="126"/>
      <c r="M114" s="125"/>
      <c r="N114" s="126"/>
      <c r="O114" s="125"/>
      <c r="P114" s="126"/>
      <c r="Q114" s="125"/>
      <c r="R114" s="126" t="n">
        <f aca="false">P114*104/100</f>
        <v>0</v>
      </c>
      <c r="S114" s="127"/>
      <c r="T114" s="125"/>
      <c r="U114" s="129"/>
      <c r="V114" s="129"/>
      <c r="W114" s="129"/>
    </row>
    <row r="115" s="130" customFormat="true" ht="15.6" hidden="false" customHeight="true" outlineLevel="0" collapsed="false">
      <c r="A115" s="149"/>
      <c r="B115" s="142"/>
      <c r="C115" s="122" t="s">
        <v>32</v>
      </c>
      <c r="D115" s="132"/>
      <c r="E115" s="132"/>
      <c r="F115" s="126" t="n">
        <f aca="false">SUM(G115:R115)</f>
        <v>5793720.82133115</v>
      </c>
      <c r="G115" s="126" t="n">
        <v>742463.827</v>
      </c>
      <c r="H115" s="126" t="n">
        <v>798220.28748</v>
      </c>
      <c r="I115" s="125" t="n">
        <f aca="false">IFERROR(H115/G115, 0)</f>
        <v>1.07509653460868</v>
      </c>
      <c r="J115" s="126" t="n">
        <v>811747.23229</v>
      </c>
      <c r="K115" s="125" t="n">
        <f aca="false">IFERROR(J115/H115, 0)</f>
        <v>1.0169463806197</v>
      </c>
      <c r="L115" s="126" t="n">
        <v>826584.70531</v>
      </c>
      <c r="M115" s="125" t="n">
        <f aca="false">IFERROR(L115/J115, 0)</f>
        <v>1.01827843992537</v>
      </c>
      <c r="N115" s="126" t="n">
        <v>856728.464</v>
      </c>
      <c r="O115" s="125" t="n">
        <f aca="false">IFERROR(N115/L115, 0)</f>
        <v>1.03646783989149</v>
      </c>
      <c r="P115" s="126" t="n">
        <v>861750.565</v>
      </c>
      <c r="Q115" s="125" t="n">
        <f aca="false">IFERROR(P115/N115, 0)</f>
        <v>1.00586195184476</v>
      </c>
      <c r="R115" s="126" t="n">
        <f aca="false">P115*104/100</f>
        <v>896220.5876</v>
      </c>
      <c r="S115" s="127"/>
      <c r="T115" s="125" t="n">
        <f aca="false">IFERROR(R115/P115, 0)</f>
        <v>1.04</v>
      </c>
      <c r="U115" s="129"/>
      <c r="V115" s="129"/>
      <c r="W115" s="129"/>
    </row>
    <row r="116" s="130" customFormat="true" ht="15.6" hidden="false" customHeight="true" outlineLevel="0" collapsed="false">
      <c r="A116" s="149"/>
      <c r="B116" s="142"/>
      <c r="C116" s="122" t="s">
        <v>33</v>
      </c>
      <c r="D116" s="132"/>
      <c r="E116" s="132"/>
      <c r="F116" s="126" t="n">
        <f aca="false">SUM(G116:R116)</f>
        <v>0</v>
      </c>
      <c r="G116" s="126"/>
      <c r="H116" s="126"/>
      <c r="I116" s="125"/>
      <c r="J116" s="126"/>
      <c r="K116" s="125"/>
      <c r="L116" s="126"/>
      <c r="M116" s="125"/>
      <c r="N116" s="126"/>
      <c r="O116" s="125"/>
      <c r="P116" s="126"/>
      <c r="Q116" s="125"/>
      <c r="R116" s="126" t="n">
        <f aca="false">P116*104/100</f>
        <v>0</v>
      </c>
      <c r="S116" s="127"/>
      <c r="T116" s="125"/>
      <c r="U116" s="129"/>
      <c r="V116" s="129"/>
      <c r="W116" s="129"/>
    </row>
    <row r="117" s="130" customFormat="true" ht="30.75" hidden="false" customHeight="true" outlineLevel="0" collapsed="false">
      <c r="A117" s="149"/>
      <c r="B117" s="142"/>
      <c r="C117" s="122" t="s">
        <v>34</v>
      </c>
      <c r="D117" s="132"/>
      <c r="E117" s="132"/>
      <c r="F117" s="126"/>
      <c r="G117" s="126"/>
      <c r="H117" s="126"/>
      <c r="I117" s="125"/>
      <c r="J117" s="126"/>
      <c r="K117" s="125"/>
      <c r="L117" s="126"/>
      <c r="M117" s="125"/>
      <c r="N117" s="126"/>
      <c r="O117" s="125"/>
      <c r="P117" s="126"/>
      <c r="Q117" s="125"/>
      <c r="R117" s="126" t="n">
        <f aca="false">P117*104/100</f>
        <v>0</v>
      </c>
      <c r="S117" s="127"/>
      <c r="T117" s="125"/>
      <c r="U117" s="129"/>
      <c r="V117" s="129"/>
      <c r="W117" s="129"/>
    </row>
    <row r="118" s="130" customFormat="true" ht="18" hidden="false" customHeight="true" outlineLevel="0" collapsed="false">
      <c r="A118" s="149"/>
      <c r="B118" s="142"/>
      <c r="C118" s="122" t="s">
        <v>35</v>
      </c>
      <c r="D118" s="132"/>
      <c r="E118" s="132"/>
      <c r="F118" s="126"/>
      <c r="G118" s="126"/>
      <c r="H118" s="126"/>
      <c r="I118" s="125"/>
      <c r="J118" s="126"/>
      <c r="K118" s="125"/>
      <c r="L118" s="126"/>
      <c r="M118" s="125"/>
      <c r="N118" s="126"/>
      <c r="O118" s="125"/>
      <c r="P118" s="126"/>
      <c r="Q118" s="125"/>
      <c r="R118" s="126" t="n">
        <f aca="false">P118*104/100</f>
        <v>0</v>
      </c>
      <c r="S118" s="127"/>
      <c r="T118" s="125"/>
      <c r="U118" s="129"/>
      <c r="V118" s="129"/>
      <c r="W118" s="129"/>
    </row>
    <row r="119" s="130" customFormat="true" ht="60" hidden="false" customHeight="true" outlineLevel="0" collapsed="false">
      <c r="A119" s="149"/>
      <c r="B119" s="142"/>
      <c r="C119" s="122" t="s">
        <v>36</v>
      </c>
      <c r="D119" s="132"/>
      <c r="E119" s="132"/>
      <c r="F119" s="126"/>
      <c r="G119" s="126"/>
      <c r="H119" s="126"/>
      <c r="I119" s="125"/>
      <c r="J119" s="126"/>
      <c r="K119" s="125"/>
      <c r="L119" s="126"/>
      <c r="M119" s="125"/>
      <c r="N119" s="126"/>
      <c r="O119" s="125"/>
      <c r="P119" s="126"/>
      <c r="Q119" s="125"/>
      <c r="R119" s="126" t="n">
        <f aca="false">P119*104/100</f>
        <v>0</v>
      </c>
      <c r="S119" s="127"/>
      <c r="T119" s="125"/>
      <c r="U119" s="129"/>
      <c r="V119" s="129"/>
      <c r="W119" s="129"/>
    </row>
    <row r="120" s="130" customFormat="true" ht="20.25" hidden="false" customHeight="true" outlineLevel="0" collapsed="false">
      <c r="A120" s="149" t="s">
        <v>225</v>
      </c>
      <c r="B120" s="142" t="s">
        <v>121</v>
      </c>
      <c r="C120" s="122" t="s">
        <v>30</v>
      </c>
      <c r="D120" s="132" t="s">
        <v>42</v>
      </c>
      <c r="E120" s="132" t="s">
        <v>115</v>
      </c>
      <c r="F120" s="126" t="n">
        <f aca="false">SUM(G120:R120)</f>
        <v>80518.5905811834</v>
      </c>
      <c r="G120" s="126" t="n">
        <f aca="false">SUM(G121:G126)</f>
        <v>9200</v>
      </c>
      <c r="H120" s="126" t="n">
        <f aca="false">SUM(H121:H126)</f>
        <v>4650</v>
      </c>
      <c r="I120" s="125" t="n">
        <f aca="false">IFERROR(H120/G120, 0)</f>
        <v>0.505434782608696</v>
      </c>
      <c r="J120" s="126" t="n">
        <f aca="false">SUM(J121:J126)</f>
        <v>13800</v>
      </c>
      <c r="K120" s="125" t="n">
        <f aca="false">IFERROR(J120/H120, 0)</f>
        <v>2.96774193548387</v>
      </c>
      <c r="L120" s="126" t="n">
        <f aca="false">SUM(L121:L126)</f>
        <v>14039.4</v>
      </c>
      <c r="M120" s="125" t="n">
        <f aca="false">IFERROR(L120/J120, 0)</f>
        <v>1.01734782608696</v>
      </c>
      <c r="N120" s="126" t="n">
        <f aca="false">SUM(N121:N126)</f>
        <v>12761.28</v>
      </c>
      <c r="O120" s="125" t="n">
        <f aca="false">IFERROR(N120/L120, 0)</f>
        <v>0.908961921449635</v>
      </c>
      <c r="P120" s="126" t="n">
        <f aca="false">SUM(P121:P126)</f>
        <v>12775.25</v>
      </c>
      <c r="Q120" s="125" t="n">
        <f aca="false">IFERROR(P120/N120, 0)</f>
        <v>1.00109471777126</v>
      </c>
      <c r="R120" s="126" t="n">
        <f aca="false">SUM(R121:R126)</f>
        <v>13286.26</v>
      </c>
      <c r="S120" s="127"/>
      <c r="T120" s="125" t="n">
        <f aca="false">IFERROR(R120/P120, 0)</f>
        <v>1.04</v>
      </c>
      <c r="U120" s="129"/>
      <c r="V120" s="129"/>
      <c r="W120" s="129"/>
    </row>
    <row r="121" s="130" customFormat="true" ht="29.25" hidden="false" customHeight="true" outlineLevel="0" collapsed="false">
      <c r="A121" s="149"/>
      <c r="B121" s="142"/>
      <c r="C121" s="122" t="s">
        <v>31</v>
      </c>
      <c r="D121" s="132"/>
      <c r="E121" s="132"/>
      <c r="F121" s="126" t="n">
        <f aca="false">SUM(G121:R121)</f>
        <v>0</v>
      </c>
      <c r="G121" s="126"/>
      <c r="H121" s="126"/>
      <c r="I121" s="125"/>
      <c r="J121" s="126"/>
      <c r="K121" s="125"/>
      <c r="L121" s="126"/>
      <c r="M121" s="125"/>
      <c r="N121" s="126"/>
      <c r="O121" s="125"/>
      <c r="P121" s="126"/>
      <c r="Q121" s="125"/>
      <c r="R121" s="126" t="n">
        <f aca="false">P121*104/100</f>
        <v>0</v>
      </c>
      <c r="S121" s="127"/>
      <c r="T121" s="125"/>
      <c r="U121" s="129"/>
      <c r="V121" s="129"/>
      <c r="W121" s="129"/>
    </row>
    <row r="122" s="130" customFormat="true" ht="24" hidden="false" customHeight="true" outlineLevel="0" collapsed="false">
      <c r="A122" s="149"/>
      <c r="B122" s="142"/>
      <c r="C122" s="122" t="s">
        <v>32</v>
      </c>
      <c r="D122" s="132"/>
      <c r="E122" s="132"/>
      <c r="F122" s="126" t="n">
        <f aca="false">SUM(G122:R122)</f>
        <v>80518.5905811834</v>
      </c>
      <c r="G122" s="126" t="n">
        <v>9200</v>
      </c>
      <c r="H122" s="126" t="n">
        <v>4650</v>
      </c>
      <c r="I122" s="125" t="n">
        <f aca="false">IFERROR(H122/G122, 0)</f>
        <v>0.505434782608696</v>
      </c>
      <c r="J122" s="126" t="n">
        <f aca="false">10950+2850</f>
        <v>13800</v>
      </c>
      <c r="K122" s="125" t="n">
        <f aca="false">IFERROR(J122/H122, 0)</f>
        <v>2.96774193548387</v>
      </c>
      <c r="L122" s="126" t="n">
        <v>14039.4</v>
      </c>
      <c r="M122" s="125" t="n">
        <f aca="false">IFERROR(L122/J122, 0)</f>
        <v>1.01734782608696</v>
      </c>
      <c r="N122" s="126" t="n">
        <v>12761.28</v>
      </c>
      <c r="O122" s="125" t="n">
        <f aca="false">IFERROR(N122/L122, 0)</f>
        <v>0.908961921449635</v>
      </c>
      <c r="P122" s="126" t="n">
        <v>12775.25</v>
      </c>
      <c r="Q122" s="125" t="n">
        <f aca="false">IFERROR(P122/N122, 0)</f>
        <v>1.00109471777126</v>
      </c>
      <c r="R122" s="126" t="n">
        <f aca="false">P122*104/100</f>
        <v>13286.26</v>
      </c>
      <c r="S122" s="127"/>
      <c r="T122" s="125" t="n">
        <f aca="false">IFERROR(R122/P122, 0)</f>
        <v>1.04</v>
      </c>
      <c r="U122" s="129"/>
      <c r="V122" s="129"/>
      <c r="W122" s="129"/>
    </row>
    <row r="123" s="130" customFormat="true" ht="21.45" hidden="false" customHeight="true" outlineLevel="0" collapsed="false">
      <c r="A123" s="149"/>
      <c r="B123" s="142"/>
      <c r="C123" s="122" t="s">
        <v>33</v>
      </c>
      <c r="D123" s="132"/>
      <c r="E123" s="132"/>
      <c r="F123" s="126"/>
      <c r="G123" s="126"/>
      <c r="H123" s="126"/>
      <c r="I123" s="125"/>
      <c r="J123" s="126"/>
      <c r="K123" s="125"/>
      <c r="L123" s="126"/>
      <c r="M123" s="125"/>
      <c r="N123" s="126"/>
      <c r="O123" s="125"/>
      <c r="P123" s="126"/>
      <c r="Q123" s="125"/>
      <c r="R123" s="126" t="n">
        <f aca="false">P123*104/100</f>
        <v>0</v>
      </c>
      <c r="S123" s="127"/>
      <c r="T123" s="125"/>
      <c r="U123" s="129"/>
      <c r="V123" s="129"/>
      <c r="W123" s="129"/>
    </row>
    <row r="124" s="130" customFormat="true" ht="34.5" hidden="false" customHeight="true" outlineLevel="0" collapsed="false">
      <c r="A124" s="149"/>
      <c r="B124" s="142"/>
      <c r="C124" s="122" t="s">
        <v>34</v>
      </c>
      <c r="D124" s="132"/>
      <c r="E124" s="132"/>
      <c r="F124" s="126"/>
      <c r="G124" s="126"/>
      <c r="H124" s="126"/>
      <c r="I124" s="125"/>
      <c r="J124" s="126"/>
      <c r="K124" s="125"/>
      <c r="L124" s="126"/>
      <c r="M124" s="125"/>
      <c r="N124" s="126"/>
      <c r="O124" s="125"/>
      <c r="P124" s="126"/>
      <c r="Q124" s="125"/>
      <c r="R124" s="126" t="n">
        <f aca="false">P124*104/100</f>
        <v>0</v>
      </c>
      <c r="S124" s="127"/>
      <c r="T124" s="125"/>
      <c r="U124" s="129"/>
      <c r="V124" s="129"/>
      <c r="W124" s="129"/>
    </row>
    <row r="125" s="130" customFormat="true" ht="17.7" hidden="false" customHeight="true" outlineLevel="0" collapsed="false">
      <c r="A125" s="149"/>
      <c r="B125" s="142"/>
      <c r="C125" s="122" t="s">
        <v>35</v>
      </c>
      <c r="D125" s="132"/>
      <c r="E125" s="132"/>
      <c r="F125" s="126"/>
      <c r="G125" s="126"/>
      <c r="H125" s="126"/>
      <c r="I125" s="125"/>
      <c r="J125" s="126"/>
      <c r="K125" s="125"/>
      <c r="L125" s="126"/>
      <c r="M125" s="125"/>
      <c r="N125" s="126"/>
      <c r="O125" s="125"/>
      <c r="P125" s="126"/>
      <c r="Q125" s="125"/>
      <c r="R125" s="126" t="n">
        <f aca="false">P125*104/100</f>
        <v>0</v>
      </c>
      <c r="S125" s="127"/>
      <c r="T125" s="125"/>
      <c r="U125" s="129"/>
      <c r="V125" s="129"/>
      <c r="W125" s="129"/>
    </row>
    <row r="126" s="130" customFormat="true" ht="51.75" hidden="false" customHeight="true" outlineLevel="0" collapsed="false">
      <c r="A126" s="149"/>
      <c r="B126" s="142"/>
      <c r="C126" s="122" t="s">
        <v>36</v>
      </c>
      <c r="D126" s="132"/>
      <c r="E126" s="132"/>
      <c r="F126" s="126"/>
      <c r="G126" s="126"/>
      <c r="H126" s="126"/>
      <c r="I126" s="125"/>
      <c r="J126" s="126"/>
      <c r="K126" s="125"/>
      <c r="L126" s="126"/>
      <c r="M126" s="125"/>
      <c r="N126" s="126"/>
      <c r="O126" s="125"/>
      <c r="P126" s="126"/>
      <c r="Q126" s="125"/>
      <c r="R126" s="126" t="n">
        <f aca="false">P126*104/100</f>
        <v>0</v>
      </c>
      <c r="S126" s="127"/>
      <c r="T126" s="125"/>
      <c r="U126" s="129"/>
      <c r="V126" s="129"/>
      <c r="W126" s="129"/>
    </row>
    <row r="127" s="130" customFormat="true" ht="17.7" hidden="false" customHeight="true" outlineLevel="0" collapsed="false">
      <c r="A127" s="149" t="s">
        <v>226</v>
      </c>
      <c r="B127" s="142" t="s">
        <v>123</v>
      </c>
      <c r="C127" s="122" t="s">
        <v>30</v>
      </c>
      <c r="D127" s="132"/>
      <c r="E127" s="132"/>
      <c r="F127" s="126" t="n">
        <f aca="false">SUM(G127:S127)</f>
        <v>27050.7554424998</v>
      </c>
      <c r="G127" s="126" t="n">
        <f aca="false">SUM(G128:G136)</f>
        <v>852</v>
      </c>
      <c r="H127" s="126" t="n">
        <f aca="false">SUM(H128:H136)</f>
        <v>1912</v>
      </c>
      <c r="I127" s="125" t="n">
        <f aca="false">IFERROR(H127/G127, 0)</f>
        <v>2.24413145539906</v>
      </c>
      <c r="J127" s="126" t="n">
        <f aca="false">SUM(J128:J136)</f>
        <v>4979</v>
      </c>
      <c r="K127" s="125" t="n">
        <f aca="false">IFERROR(J127/H127, 0)</f>
        <v>2.60407949790795</v>
      </c>
      <c r="L127" s="126" t="n">
        <f aca="false">SUM(L128:L136)</f>
        <v>5292.68</v>
      </c>
      <c r="M127" s="125" t="n">
        <f aca="false">IFERROR(L127/J127, 0)</f>
        <v>1.06300060253063</v>
      </c>
      <c r="N127" s="126" t="n">
        <f aca="false">SUM(N128:N136)</f>
        <v>4604.26</v>
      </c>
      <c r="O127" s="125" t="n">
        <f aca="false">IFERROR(N127/L127, 0)</f>
        <v>0.869929789822925</v>
      </c>
      <c r="P127" s="126" t="n">
        <f aca="false">SUM(P128:P136)</f>
        <v>4609.33</v>
      </c>
      <c r="Q127" s="125" t="n">
        <f aca="false">IFERROR(P127/N127, 0)</f>
        <v>1.00110115414855</v>
      </c>
      <c r="R127" s="126" t="n">
        <f aca="false">SUM(R128:R136)</f>
        <v>4793.7032</v>
      </c>
      <c r="S127" s="127"/>
      <c r="T127" s="125" t="n">
        <f aca="false">IFERROR(R127/P127, 0)</f>
        <v>1.04</v>
      </c>
      <c r="U127" s="129"/>
      <c r="V127" s="129"/>
      <c r="W127" s="129"/>
    </row>
    <row r="128" s="130" customFormat="true" ht="35.7" hidden="false" customHeight="true" outlineLevel="0" collapsed="false">
      <c r="A128" s="149"/>
      <c r="B128" s="142"/>
      <c r="C128" s="122" t="s">
        <v>31</v>
      </c>
      <c r="D128" s="132"/>
      <c r="E128" s="132"/>
      <c r="F128" s="126"/>
      <c r="G128" s="126"/>
      <c r="H128" s="126"/>
      <c r="I128" s="125"/>
      <c r="J128" s="126"/>
      <c r="K128" s="125"/>
      <c r="L128" s="126"/>
      <c r="M128" s="125"/>
      <c r="N128" s="126"/>
      <c r="O128" s="125"/>
      <c r="P128" s="126"/>
      <c r="Q128" s="125"/>
      <c r="R128" s="126" t="n">
        <f aca="false">P128*104/100</f>
        <v>0</v>
      </c>
      <c r="S128" s="127"/>
      <c r="T128" s="125"/>
      <c r="U128" s="129"/>
      <c r="V128" s="129"/>
      <c r="W128" s="129"/>
    </row>
    <row r="129" s="130" customFormat="true" ht="27.6" hidden="false" customHeight="false" outlineLevel="0" collapsed="false">
      <c r="A129" s="149"/>
      <c r="B129" s="142"/>
      <c r="C129" s="122" t="s">
        <v>32</v>
      </c>
      <c r="D129" s="132" t="s">
        <v>42</v>
      </c>
      <c r="E129" s="132" t="s">
        <v>115</v>
      </c>
      <c r="F129" s="126" t="n">
        <f aca="false">SUM(G129:S129)</f>
        <v>25676.0784703604</v>
      </c>
      <c r="G129" s="126" t="n">
        <f aca="false">142+330+180</f>
        <v>652</v>
      </c>
      <c r="H129" s="126" t="n">
        <f aca="false">1912-H134</f>
        <v>1712</v>
      </c>
      <c r="I129" s="125" t="n">
        <f aca="false">IFERROR(H129/G129, 0)</f>
        <v>2.62576687116564</v>
      </c>
      <c r="J129" s="126" t="n">
        <f aca="false">4979-J134</f>
        <v>4779</v>
      </c>
      <c r="K129" s="125" t="n">
        <f aca="false">IFERROR(J129/H129, 0)</f>
        <v>2.79147196261682</v>
      </c>
      <c r="L129" s="126" t="n">
        <v>5080.08</v>
      </c>
      <c r="M129" s="125" t="n">
        <f aca="false">IFERROR(L129/J129, 0)</f>
        <v>1.06300062774639</v>
      </c>
      <c r="N129" s="126" t="n">
        <v>4419.32</v>
      </c>
      <c r="O129" s="125" t="n">
        <f aca="false">IFERROR(N129/L129, 0)</f>
        <v>0.869931182186107</v>
      </c>
      <c r="P129" s="126" t="n">
        <v>4424.18</v>
      </c>
      <c r="Q129" s="125" t="n">
        <f aca="false">IFERROR(P129/N129, 0)</f>
        <v>1.0010997166985</v>
      </c>
      <c r="R129" s="126" t="n">
        <f aca="false">P129*104/100</f>
        <v>4601.1472</v>
      </c>
      <c r="S129" s="127"/>
      <c r="T129" s="125" t="n">
        <f aca="false">IFERROR(R129/P129, 0)</f>
        <v>1.04</v>
      </c>
      <c r="U129" s="129"/>
      <c r="V129" s="129"/>
      <c r="W129" s="129"/>
    </row>
    <row r="130" s="130" customFormat="true" ht="27.6" hidden="false" customHeight="false" outlineLevel="0" collapsed="false">
      <c r="A130" s="149"/>
      <c r="B130" s="142"/>
      <c r="C130" s="122" t="s">
        <v>33</v>
      </c>
      <c r="D130" s="132"/>
      <c r="E130" s="132"/>
      <c r="F130" s="126"/>
      <c r="G130" s="126"/>
      <c r="H130" s="126"/>
      <c r="I130" s="125"/>
      <c r="J130" s="126"/>
      <c r="K130" s="125"/>
      <c r="L130" s="126"/>
      <c r="M130" s="125"/>
      <c r="N130" s="126"/>
      <c r="O130" s="125"/>
      <c r="P130" s="126"/>
      <c r="Q130" s="125"/>
      <c r="R130" s="126" t="n">
        <f aca="false">P130*104/100</f>
        <v>0</v>
      </c>
      <c r="S130" s="127"/>
      <c r="T130" s="125"/>
      <c r="U130" s="129"/>
      <c r="V130" s="129"/>
      <c r="W130" s="129"/>
    </row>
    <row r="131" s="130" customFormat="true" ht="39.45" hidden="false" customHeight="true" outlineLevel="0" collapsed="false">
      <c r="A131" s="149"/>
      <c r="B131" s="142"/>
      <c r="C131" s="122" t="s">
        <v>34</v>
      </c>
      <c r="D131" s="132"/>
      <c r="E131" s="132"/>
      <c r="F131" s="126"/>
      <c r="G131" s="126"/>
      <c r="H131" s="126"/>
      <c r="I131" s="125"/>
      <c r="J131" s="126"/>
      <c r="K131" s="125"/>
      <c r="L131" s="126"/>
      <c r="M131" s="125"/>
      <c r="N131" s="126"/>
      <c r="O131" s="125"/>
      <c r="P131" s="126"/>
      <c r="Q131" s="125"/>
      <c r="R131" s="126" t="n">
        <f aca="false">P131*104/100</f>
        <v>0</v>
      </c>
      <c r="S131" s="127"/>
      <c r="T131" s="125"/>
      <c r="U131" s="129"/>
      <c r="V131" s="129"/>
      <c r="W131" s="129"/>
    </row>
    <row r="132" s="130" customFormat="true" ht="27.6" hidden="false" customHeight="false" outlineLevel="0" collapsed="false">
      <c r="A132" s="149"/>
      <c r="B132" s="142"/>
      <c r="C132" s="122" t="s">
        <v>35</v>
      </c>
      <c r="D132" s="132"/>
      <c r="E132" s="132"/>
      <c r="F132" s="126"/>
      <c r="G132" s="126"/>
      <c r="H132" s="126"/>
      <c r="I132" s="125"/>
      <c r="J132" s="126"/>
      <c r="K132" s="125"/>
      <c r="L132" s="126"/>
      <c r="M132" s="125"/>
      <c r="N132" s="126"/>
      <c r="O132" s="125"/>
      <c r="P132" s="126"/>
      <c r="Q132" s="125"/>
      <c r="R132" s="126" t="n">
        <f aca="false">P132*104/100</f>
        <v>0</v>
      </c>
      <c r="S132" s="127"/>
      <c r="T132" s="125"/>
      <c r="U132" s="129"/>
      <c r="V132" s="129"/>
      <c r="W132" s="129"/>
    </row>
    <row r="133" s="130" customFormat="true" ht="30.75" hidden="false" customHeight="true" outlineLevel="0" collapsed="false">
      <c r="A133" s="149"/>
      <c r="B133" s="142"/>
      <c r="C133" s="122" t="s">
        <v>31</v>
      </c>
      <c r="D133" s="132"/>
      <c r="E133" s="132"/>
      <c r="F133" s="126"/>
      <c r="G133" s="126"/>
      <c r="H133" s="126"/>
      <c r="I133" s="125"/>
      <c r="J133" s="126"/>
      <c r="K133" s="125"/>
      <c r="L133" s="126"/>
      <c r="M133" s="125"/>
      <c r="N133" s="126"/>
      <c r="O133" s="125"/>
      <c r="P133" s="126"/>
      <c r="Q133" s="125"/>
      <c r="R133" s="126" t="n">
        <f aca="false">P133*104/100</f>
        <v>0</v>
      </c>
      <c r="S133" s="127"/>
      <c r="T133" s="125"/>
      <c r="U133" s="129"/>
      <c r="V133" s="129"/>
      <c r="W133" s="129"/>
    </row>
    <row r="134" s="130" customFormat="true" ht="15.75" hidden="false" customHeight="true" outlineLevel="0" collapsed="false">
      <c r="A134" s="149"/>
      <c r="B134" s="142"/>
      <c r="C134" s="122" t="s">
        <v>32</v>
      </c>
      <c r="D134" s="132" t="s">
        <v>124</v>
      </c>
      <c r="E134" s="132" t="s">
        <v>115</v>
      </c>
      <c r="F134" s="126" t="n">
        <f aca="false">SUM(G134:S134)</f>
        <v>1380.18003202269</v>
      </c>
      <c r="G134" s="126" t="n">
        <v>200</v>
      </c>
      <c r="H134" s="126" t="n">
        <v>200</v>
      </c>
      <c r="I134" s="125" t="n">
        <f aca="false">IFERROR(H134/G134, 0)</f>
        <v>1</v>
      </c>
      <c r="J134" s="126" t="n">
        <v>200</v>
      </c>
      <c r="K134" s="125" t="n">
        <f aca="false">IFERROR(J134/H134, 0)</f>
        <v>1</v>
      </c>
      <c r="L134" s="126" t="n">
        <v>212.6</v>
      </c>
      <c r="M134" s="125" t="n">
        <f aca="false">IFERROR(L134/J134, 0)</f>
        <v>1.063</v>
      </c>
      <c r="N134" s="126" t="n">
        <v>184.94</v>
      </c>
      <c r="O134" s="125" t="n">
        <f aca="false">IFERROR(N134/L134, 0)</f>
        <v>0.869896519285042</v>
      </c>
      <c r="P134" s="126" t="n">
        <v>185.15</v>
      </c>
      <c r="Q134" s="125" t="n">
        <f aca="false">IFERROR(P134/N134, 0)</f>
        <v>1.00113550340651</v>
      </c>
      <c r="R134" s="126" t="n">
        <f aca="false">P134*104/100</f>
        <v>192.556</v>
      </c>
      <c r="S134" s="127"/>
      <c r="T134" s="125" t="n">
        <f aca="false">IFERROR(R134/P134, 0)</f>
        <v>1.04</v>
      </c>
      <c r="U134" s="150" t="s">
        <v>227</v>
      </c>
      <c r="V134" s="150"/>
      <c r="W134" s="150"/>
    </row>
    <row r="135" s="130" customFormat="true" ht="27.6" hidden="false" customHeight="false" outlineLevel="0" collapsed="false">
      <c r="A135" s="149"/>
      <c r="B135" s="142"/>
      <c r="C135" s="122" t="s">
        <v>33</v>
      </c>
      <c r="D135" s="132"/>
      <c r="E135" s="132"/>
      <c r="F135" s="126"/>
      <c r="G135" s="126"/>
      <c r="H135" s="126"/>
      <c r="I135" s="125"/>
      <c r="J135" s="126"/>
      <c r="K135" s="125"/>
      <c r="L135" s="126"/>
      <c r="M135" s="125"/>
      <c r="N135" s="126"/>
      <c r="O135" s="125"/>
      <c r="P135" s="126"/>
      <c r="Q135" s="125"/>
      <c r="R135" s="126" t="n">
        <f aca="false">P135*104/100</f>
        <v>0</v>
      </c>
      <c r="S135" s="127"/>
      <c r="T135" s="125"/>
      <c r="U135" s="150"/>
      <c r="V135" s="150"/>
      <c r="W135" s="150"/>
    </row>
    <row r="136" s="130" customFormat="true" ht="19.5" hidden="false" customHeight="true" outlineLevel="0" collapsed="false">
      <c r="A136" s="149"/>
      <c r="B136" s="142"/>
      <c r="C136" s="122" t="s">
        <v>34</v>
      </c>
      <c r="D136" s="132"/>
      <c r="E136" s="132"/>
      <c r="F136" s="126"/>
      <c r="G136" s="126"/>
      <c r="H136" s="126"/>
      <c r="I136" s="125"/>
      <c r="J136" s="126"/>
      <c r="K136" s="125"/>
      <c r="L136" s="126"/>
      <c r="M136" s="125"/>
      <c r="N136" s="126"/>
      <c r="O136" s="125"/>
      <c r="P136" s="126"/>
      <c r="Q136" s="125"/>
      <c r="R136" s="126" t="n">
        <f aca="false">P136*104/100</f>
        <v>0</v>
      </c>
      <c r="S136" s="127"/>
      <c r="T136" s="125"/>
      <c r="U136" s="150"/>
      <c r="V136" s="150"/>
      <c r="W136" s="150"/>
    </row>
    <row r="137" s="130" customFormat="true" ht="18.75" hidden="false" customHeight="true" outlineLevel="0" collapsed="false">
      <c r="A137" s="149" t="s">
        <v>228</v>
      </c>
      <c r="B137" s="142" t="s">
        <v>126</v>
      </c>
      <c r="C137" s="122" t="s">
        <v>30</v>
      </c>
      <c r="D137" s="132" t="s">
        <v>42</v>
      </c>
      <c r="E137" s="132" t="s">
        <v>115</v>
      </c>
      <c r="F137" s="126" t="n">
        <f aca="false">SUM(G137:R137)</f>
        <v>5162.23765749001</v>
      </c>
      <c r="G137" s="126" t="n">
        <f aca="false">SUM(G138:G143)</f>
        <v>750</v>
      </c>
      <c r="H137" s="126" t="n">
        <f aca="false">SUM(H138:H143)</f>
        <v>750</v>
      </c>
      <c r="I137" s="125" t="n">
        <f aca="false">IFERROR(H137/G137, 0)</f>
        <v>1</v>
      </c>
      <c r="J137" s="126" t="n">
        <f aca="false">SUM(J138:J143)</f>
        <v>750</v>
      </c>
      <c r="K137" s="125" t="n">
        <f aca="false">IFERROR(J137/H137, 0)</f>
        <v>1</v>
      </c>
      <c r="L137" s="126" t="n">
        <f aca="false">SUM(L138:L143)</f>
        <v>797.25</v>
      </c>
      <c r="M137" s="125" t="n">
        <f aca="false">IFERROR(L137/J137, 0)</f>
        <v>1.063</v>
      </c>
      <c r="N137" s="126" t="n">
        <f aca="false">SUM(N138:N143)</f>
        <v>693.6</v>
      </c>
      <c r="O137" s="125" t="n">
        <f aca="false">IFERROR(N137/L137, 0)</f>
        <v>0.869990592662277</v>
      </c>
      <c r="P137" s="126" t="n">
        <f aca="false">SUM(P138:P143)</f>
        <v>694.34</v>
      </c>
      <c r="Q137" s="125" t="n">
        <f aca="false">IFERROR(P137/N137, 0)</f>
        <v>1.00106689734717</v>
      </c>
      <c r="R137" s="126" t="n">
        <f aca="false">SUM(R138:R143)</f>
        <v>722.1136</v>
      </c>
      <c r="S137" s="127"/>
      <c r="T137" s="125" t="n">
        <f aca="false">IFERROR(R137/P137, 0)</f>
        <v>1.04</v>
      </c>
      <c r="U137" s="129"/>
      <c r="V137" s="129"/>
      <c r="W137" s="129"/>
    </row>
    <row r="138" s="130" customFormat="true" ht="27.6" hidden="false" customHeight="false" outlineLevel="0" collapsed="false">
      <c r="A138" s="149"/>
      <c r="B138" s="142"/>
      <c r="C138" s="122" t="s">
        <v>31</v>
      </c>
      <c r="D138" s="132"/>
      <c r="E138" s="132"/>
      <c r="F138" s="126" t="n">
        <f aca="false">SUM(G138:J138)</f>
        <v>0</v>
      </c>
      <c r="G138" s="126"/>
      <c r="H138" s="126"/>
      <c r="I138" s="125"/>
      <c r="J138" s="126"/>
      <c r="K138" s="125"/>
      <c r="L138" s="126"/>
      <c r="M138" s="125"/>
      <c r="N138" s="126"/>
      <c r="O138" s="125"/>
      <c r="P138" s="126"/>
      <c r="Q138" s="125"/>
      <c r="R138" s="126" t="n">
        <f aca="false">P138*104/100</f>
        <v>0</v>
      </c>
      <c r="S138" s="127"/>
      <c r="T138" s="125"/>
      <c r="U138" s="129"/>
      <c r="V138" s="129"/>
      <c r="W138" s="129"/>
    </row>
    <row r="139" s="130" customFormat="true" ht="27.6" hidden="false" customHeight="false" outlineLevel="0" collapsed="false">
      <c r="A139" s="149"/>
      <c r="B139" s="142"/>
      <c r="C139" s="122" t="s">
        <v>32</v>
      </c>
      <c r="D139" s="132"/>
      <c r="E139" s="132"/>
      <c r="F139" s="126" t="n">
        <f aca="false">SUM(G139:R139)</f>
        <v>5162.23765749001</v>
      </c>
      <c r="G139" s="126" t="n">
        <f aca="false">250+500</f>
        <v>750</v>
      </c>
      <c r="H139" s="126" t="n">
        <v>750</v>
      </c>
      <c r="I139" s="125" t="n">
        <f aca="false">IFERROR(H139/G139, 0)</f>
        <v>1</v>
      </c>
      <c r="J139" s="126" t="n">
        <v>750</v>
      </c>
      <c r="K139" s="125" t="n">
        <f aca="false">IFERROR(J139/H139, 0)</f>
        <v>1</v>
      </c>
      <c r="L139" s="126" t="n">
        <v>797.25</v>
      </c>
      <c r="M139" s="125" t="n">
        <f aca="false">IFERROR(L139/J139, 0)</f>
        <v>1.063</v>
      </c>
      <c r="N139" s="126" t="n">
        <v>693.6</v>
      </c>
      <c r="O139" s="125" t="n">
        <f aca="false">IFERROR(N139/L139, 0)</f>
        <v>0.869990592662277</v>
      </c>
      <c r="P139" s="126" t="n">
        <v>694.34</v>
      </c>
      <c r="Q139" s="125" t="n">
        <f aca="false">IFERROR(P139/N139, 0)</f>
        <v>1.00106689734717</v>
      </c>
      <c r="R139" s="126" t="n">
        <f aca="false">P139*104/100</f>
        <v>722.1136</v>
      </c>
      <c r="S139" s="127"/>
      <c r="T139" s="125" t="n">
        <f aca="false">IFERROR(R139/P139, 0)</f>
        <v>1.04</v>
      </c>
      <c r="U139" s="129"/>
      <c r="V139" s="129"/>
      <c r="W139" s="129"/>
    </row>
    <row r="140" s="130" customFormat="true" ht="27.6" hidden="false" customHeight="false" outlineLevel="0" collapsed="false">
      <c r="A140" s="149"/>
      <c r="B140" s="142"/>
      <c r="C140" s="122" t="s">
        <v>33</v>
      </c>
      <c r="D140" s="132"/>
      <c r="E140" s="132"/>
      <c r="F140" s="126"/>
      <c r="G140" s="126"/>
      <c r="H140" s="126"/>
      <c r="I140" s="125"/>
      <c r="J140" s="126"/>
      <c r="K140" s="125"/>
      <c r="L140" s="126"/>
      <c r="M140" s="125"/>
      <c r="N140" s="126"/>
      <c r="O140" s="125"/>
      <c r="P140" s="126"/>
      <c r="Q140" s="125"/>
      <c r="R140" s="126" t="n">
        <f aca="false">P140*104/100</f>
        <v>0</v>
      </c>
      <c r="S140" s="127"/>
      <c r="T140" s="125"/>
      <c r="U140" s="129"/>
      <c r="V140" s="129"/>
      <c r="W140" s="129"/>
    </row>
    <row r="141" s="130" customFormat="true" ht="34.5" hidden="false" customHeight="true" outlineLevel="0" collapsed="false">
      <c r="A141" s="149"/>
      <c r="B141" s="142"/>
      <c r="C141" s="122" t="s">
        <v>34</v>
      </c>
      <c r="D141" s="132"/>
      <c r="E141" s="132"/>
      <c r="F141" s="126"/>
      <c r="G141" s="126"/>
      <c r="H141" s="126"/>
      <c r="I141" s="125"/>
      <c r="J141" s="126"/>
      <c r="K141" s="125"/>
      <c r="L141" s="126"/>
      <c r="M141" s="125"/>
      <c r="N141" s="126"/>
      <c r="O141" s="125"/>
      <c r="P141" s="126"/>
      <c r="Q141" s="125"/>
      <c r="R141" s="126" t="n">
        <f aca="false">P141*104/100</f>
        <v>0</v>
      </c>
      <c r="S141" s="127"/>
      <c r="T141" s="125"/>
      <c r="U141" s="129"/>
      <c r="V141" s="129"/>
      <c r="W141" s="129"/>
    </row>
    <row r="142" s="130" customFormat="true" ht="27.6" hidden="false" customHeight="false" outlineLevel="0" collapsed="false">
      <c r="A142" s="149"/>
      <c r="B142" s="142"/>
      <c r="C142" s="122" t="s">
        <v>35</v>
      </c>
      <c r="D142" s="132"/>
      <c r="E142" s="132"/>
      <c r="F142" s="126"/>
      <c r="G142" s="126"/>
      <c r="H142" s="126"/>
      <c r="I142" s="125"/>
      <c r="J142" s="126"/>
      <c r="K142" s="125"/>
      <c r="L142" s="126"/>
      <c r="M142" s="125"/>
      <c r="N142" s="126"/>
      <c r="O142" s="125"/>
      <c r="P142" s="126"/>
      <c r="Q142" s="125"/>
      <c r="R142" s="126" t="n">
        <f aca="false">P142*104/100</f>
        <v>0</v>
      </c>
      <c r="S142" s="127"/>
      <c r="T142" s="125"/>
      <c r="U142" s="129"/>
      <c r="V142" s="129"/>
      <c r="W142" s="129"/>
    </row>
    <row r="143" s="130" customFormat="true" ht="41.4" hidden="false" customHeight="false" outlineLevel="0" collapsed="false">
      <c r="A143" s="149"/>
      <c r="B143" s="142"/>
      <c r="C143" s="122" t="s">
        <v>36</v>
      </c>
      <c r="D143" s="132"/>
      <c r="E143" s="132"/>
      <c r="F143" s="126"/>
      <c r="G143" s="126"/>
      <c r="H143" s="126"/>
      <c r="I143" s="125"/>
      <c r="J143" s="126"/>
      <c r="K143" s="125"/>
      <c r="L143" s="126"/>
      <c r="M143" s="125"/>
      <c r="N143" s="126"/>
      <c r="O143" s="125"/>
      <c r="P143" s="126"/>
      <c r="Q143" s="125"/>
      <c r="R143" s="126" t="n">
        <f aca="false">P143*104/100</f>
        <v>0</v>
      </c>
      <c r="S143" s="127"/>
      <c r="T143" s="125"/>
      <c r="U143" s="129"/>
      <c r="V143" s="129"/>
      <c r="W143" s="129"/>
    </row>
    <row r="144" s="130" customFormat="true" ht="17.7" hidden="false" customHeight="true" outlineLevel="0" collapsed="false">
      <c r="A144" s="149" t="s">
        <v>229</v>
      </c>
      <c r="B144" s="142" t="s">
        <v>128</v>
      </c>
      <c r="C144" s="122" t="s">
        <v>30</v>
      </c>
      <c r="D144" s="132" t="s">
        <v>42</v>
      </c>
      <c r="E144" s="132" t="s">
        <v>115</v>
      </c>
      <c r="F144" s="126" t="n">
        <f aca="false">SUM(G144:R144)</f>
        <v>705016.237254908</v>
      </c>
      <c r="G144" s="126" t="n">
        <f aca="false">SUM(G145:G150)</f>
        <v>99251.424</v>
      </c>
      <c r="H144" s="126" t="n">
        <f aca="false">SUM(H145:H150)</f>
        <v>103149.21231</v>
      </c>
      <c r="I144" s="125" t="n">
        <f aca="false">IFERROR(H144/G144, 0)</f>
        <v>1.03927186283997</v>
      </c>
      <c r="J144" s="126" t="n">
        <f aca="false">SUM(J145:J150)</f>
        <v>98575.81</v>
      </c>
      <c r="K144" s="125" t="n">
        <f aca="false">IFERROR(J144/H144, 0)</f>
        <v>0.955662266268643</v>
      </c>
      <c r="L144" s="126" t="n">
        <f aca="false">SUM(L145:L150)</f>
        <v>98295.041</v>
      </c>
      <c r="M144" s="125" t="n">
        <f aca="false">IFERROR(L144/J144, 0)</f>
        <v>0.997151745443431</v>
      </c>
      <c r="N144" s="126" t="n">
        <f aca="false">SUM(N145:N150)</f>
        <v>100178.478</v>
      </c>
      <c r="O144" s="125" t="n">
        <f aca="false">IFERROR(N144/L144, 0)</f>
        <v>1.01916105818604</v>
      </c>
      <c r="P144" s="126" t="n">
        <f aca="false">SUM(P145:P150)</f>
        <v>100765.321</v>
      </c>
      <c r="Q144" s="125" t="n">
        <f aca="false">IFERROR(P144/N144, 0)</f>
        <v>1.00585797480373</v>
      </c>
      <c r="R144" s="126" t="n">
        <f aca="false">SUM(R145:R150)</f>
        <v>104795.93384</v>
      </c>
      <c r="S144" s="127"/>
      <c r="T144" s="125" t="n">
        <f aca="false">IFERROR(R144/P144, 0)</f>
        <v>1.04</v>
      </c>
      <c r="U144" s="129"/>
      <c r="V144" s="129"/>
      <c r="W144" s="129"/>
    </row>
    <row r="145" s="130" customFormat="true" ht="37.5" hidden="false" customHeight="true" outlineLevel="0" collapsed="false">
      <c r="A145" s="149"/>
      <c r="B145" s="142"/>
      <c r="C145" s="122" t="s">
        <v>31</v>
      </c>
      <c r="D145" s="132"/>
      <c r="E145" s="132"/>
      <c r="F145" s="126" t="n">
        <f aca="false">SUM(G145:R145)</f>
        <v>0</v>
      </c>
      <c r="G145" s="126"/>
      <c r="H145" s="126"/>
      <c r="I145" s="125"/>
      <c r="J145" s="126"/>
      <c r="K145" s="125"/>
      <c r="L145" s="126"/>
      <c r="M145" s="125"/>
      <c r="N145" s="126"/>
      <c r="O145" s="125"/>
      <c r="P145" s="126"/>
      <c r="Q145" s="125"/>
      <c r="R145" s="126" t="n">
        <f aca="false">P145*104/100</f>
        <v>0</v>
      </c>
      <c r="S145" s="127"/>
      <c r="T145" s="125"/>
      <c r="U145" s="129"/>
      <c r="V145" s="129"/>
      <c r="W145" s="129"/>
    </row>
    <row r="146" s="130" customFormat="true" ht="15.75" hidden="false" customHeight="true" outlineLevel="0" collapsed="false">
      <c r="A146" s="149"/>
      <c r="B146" s="142"/>
      <c r="C146" s="122" t="s">
        <v>32</v>
      </c>
      <c r="D146" s="132"/>
      <c r="E146" s="132"/>
      <c r="F146" s="126" t="n">
        <f aca="false">SUM(G146:R146)</f>
        <v>705016.237254908</v>
      </c>
      <c r="G146" s="126" t="n">
        <v>99251.424</v>
      </c>
      <c r="H146" s="126" t="n">
        <v>103149.21231</v>
      </c>
      <c r="I146" s="125" t="n">
        <f aca="false">IFERROR(H146/G146, 0)</f>
        <v>1.03927186283997</v>
      </c>
      <c r="J146" s="126" t="n">
        <f aca="false">98200.81+375</f>
        <v>98575.81</v>
      </c>
      <c r="K146" s="125" t="n">
        <f aca="false">IFERROR(J146/H146, 0)</f>
        <v>0.955662266268643</v>
      </c>
      <c r="L146" s="126" t="n">
        <v>98295.041</v>
      </c>
      <c r="M146" s="125" t="n">
        <f aca="false">IFERROR(L146/J146, 0)</f>
        <v>0.997151745443431</v>
      </c>
      <c r="N146" s="126" t="n">
        <v>100178.478</v>
      </c>
      <c r="O146" s="125" t="n">
        <f aca="false">IFERROR(N146/L146, 0)</f>
        <v>1.01916105818604</v>
      </c>
      <c r="P146" s="126" t="n">
        <v>100765.321</v>
      </c>
      <c r="Q146" s="125" t="n">
        <f aca="false">IFERROR(P146/N146, 0)</f>
        <v>1.00585797480373</v>
      </c>
      <c r="R146" s="126" t="n">
        <f aca="false">P146*104/100</f>
        <v>104795.93384</v>
      </c>
      <c r="S146" s="127"/>
      <c r="T146" s="125" t="n">
        <f aca="false">IFERROR(R146/P146, 0)</f>
        <v>1.04</v>
      </c>
      <c r="U146" s="129"/>
      <c r="V146" s="129"/>
      <c r="W146" s="129"/>
    </row>
    <row r="147" s="130" customFormat="true" ht="15.75" hidden="false" customHeight="true" outlineLevel="0" collapsed="false">
      <c r="A147" s="149"/>
      <c r="B147" s="142"/>
      <c r="C147" s="122" t="s">
        <v>33</v>
      </c>
      <c r="D147" s="132"/>
      <c r="E147" s="132"/>
      <c r="F147" s="126" t="n">
        <f aca="false">SUM(G147:R147)</f>
        <v>0</v>
      </c>
      <c r="G147" s="126"/>
      <c r="H147" s="126"/>
      <c r="I147" s="125"/>
      <c r="J147" s="126"/>
      <c r="K147" s="125"/>
      <c r="L147" s="126"/>
      <c r="M147" s="125"/>
      <c r="N147" s="126"/>
      <c r="O147" s="125"/>
      <c r="P147" s="126"/>
      <c r="Q147" s="125"/>
      <c r="R147" s="126" t="n">
        <f aca="false">P147*104/100</f>
        <v>0</v>
      </c>
      <c r="S147" s="127"/>
      <c r="T147" s="125"/>
      <c r="U147" s="129"/>
      <c r="V147" s="129"/>
      <c r="W147" s="129"/>
    </row>
    <row r="148" s="130" customFormat="true" ht="30.75" hidden="false" customHeight="true" outlineLevel="0" collapsed="false">
      <c r="A148" s="149"/>
      <c r="B148" s="142"/>
      <c r="C148" s="122" t="s">
        <v>34</v>
      </c>
      <c r="D148" s="132"/>
      <c r="E148" s="132"/>
      <c r="F148" s="126"/>
      <c r="G148" s="126"/>
      <c r="H148" s="126"/>
      <c r="I148" s="125"/>
      <c r="J148" s="126"/>
      <c r="K148" s="125"/>
      <c r="L148" s="126"/>
      <c r="M148" s="125"/>
      <c r="N148" s="126"/>
      <c r="O148" s="125"/>
      <c r="P148" s="126"/>
      <c r="Q148" s="125"/>
      <c r="R148" s="126" t="n">
        <f aca="false">P148*104/100</f>
        <v>0</v>
      </c>
      <c r="S148" s="127"/>
      <c r="T148" s="125"/>
      <c r="U148" s="129"/>
      <c r="V148" s="129"/>
      <c r="W148" s="129"/>
    </row>
    <row r="149" s="130" customFormat="true" ht="18" hidden="false" customHeight="true" outlineLevel="0" collapsed="false">
      <c r="A149" s="149"/>
      <c r="B149" s="142"/>
      <c r="C149" s="122" t="s">
        <v>35</v>
      </c>
      <c r="D149" s="132"/>
      <c r="E149" s="132"/>
      <c r="F149" s="126"/>
      <c r="G149" s="126"/>
      <c r="H149" s="126"/>
      <c r="I149" s="125"/>
      <c r="J149" s="126"/>
      <c r="K149" s="125"/>
      <c r="L149" s="126"/>
      <c r="M149" s="125"/>
      <c r="N149" s="126"/>
      <c r="O149" s="125"/>
      <c r="P149" s="126"/>
      <c r="Q149" s="125"/>
      <c r="R149" s="126" t="n">
        <f aca="false">P149*104/100</f>
        <v>0</v>
      </c>
      <c r="S149" s="127"/>
      <c r="T149" s="125"/>
      <c r="U149" s="129"/>
      <c r="V149" s="129"/>
      <c r="W149" s="129"/>
    </row>
    <row r="150" s="130" customFormat="true" ht="41.4" hidden="false" customHeight="false" outlineLevel="0" collapsed="false">
      <c r="A150" s="149"/>
      <c r="B150" s="142"/>
      <c r="C150" s="122" t="s">
        <v>36</v>
      </c>
      <c r="D150" s="132"/>
      <c r="E150" s="132"/>
      <c r="F150" s="126"/>
      <c r="G150" s="126"/>
      <c r="H150" s="126"/>
      <c r="I150" s="125"/>
      <c r="J150" s="126"/>
      <c r="K150" s="125"/>
      <c r="L150" s="126"/>
      <c r="M150" s="125"/>
      <c r="N150" s="126"/>
      <c r="O150" s="125"/>
      <c r="P150" s="126"/>
      <c r="Q150" s="125"/>
      <c r="R150" s="126" t="n">
        <f aca="false">P150*104/100</f>
        <v>0</v>
      </c>
      <c r="S150" s="127"/>
      <c r="T150" s="125"/>
      <c r="U150" s="129"/>
      <c r="V150" s="129"/>
      <c r="W150" s="129"/>
    </row>
    <row r="151" s="130" customFormat="true" ht="27" hidden="false" customHeight="true" outlineLevel="0" collapsed="false">
      <c r="A151" s="149" t="s">
        <v>230</v>
      </c>
      <c r="B151" s="142" t="s">
        <v>231</v>
      </c>
      <c r="C151" s="122" t="s">
        <v>30</v>
      </c>
      <c r="D151" s="132" t="s">
        <v>42</v>
      </c>
      <c r="E151" s="132" t="s">
        <v>115</v>
      </c>
      <c r="F151" s="126" t="n">
        <f aca="false">SUM(G151:S151)</f>
        <v>929267.860151387</v>
      </c>
      <c r="G151" s="126" t="n">
        <f aca="false">SUM(G152:G157)</f>
        <v>126308.37448</v>
      </c>
      <c r="H151" s="126" t="n">
        <f aca="false">SUM(H152:H157)</f>
        <v>111571.57913</v>
      </c>
      <c r="I151" s="125" t="n">
        <f aca="false">IFERROR(H151/G151, 0)</f>
        <v>0.883326854528292</v>
      </c>
      <c r="J151" s="126" t="n">
        <f aca="false">SUM(J152:J157)</f>
        <v>118134.8968</v>
      </c>
      <c r="K151" s="125" t="n">
        <f aca="false">IFERROR(J151/H151, 0)</f>
        <v>1.05882607130937</v>
      </c>
      <c r="L151" s="126" t="n">
        <f aca="false">SUM(L152:L157)</f>
        <v>132777.23372</v>
      </c>
      <c r="M151" s="125" t="n">
        <f aca="false">IFERROR(L151/J151, 0)</f>
        <v>1.1239459068965</v>
      </c>
      <c r="N151" s="126" t="n">
        <f aca="false">SUM(N152:N157)</f>
        <v>141813.155</v>
      </c>
      <c r="O151" s="125" t="n">
        <f aca="false">IFERROR(N151/L151, 0)</f>
        <v>1.06805324246365</v>
      </c>
      <c r="P151" s="126" t="n">
        <f aca="false">SUM(P152:P157)</f>
        <v>146400.713</v>
      </c>
      <c r="Q151" s="125" t="n">
        <f aca="false">IFERROR(P151/N151, 0)</f>
        <v>1.03234931202257</v>
      </c>
      <c r="R151" s="126" t="n">
        <f aca="false">SUM(R152:R157)</f>
        <v>152256.74152</v>
      </c>
      <c r="S151" s="127"/>
      <c r="T151" s="125" t="n">
        <f aca="false">IFERROR(R151/P151, 0)</f>
        <v>1.04</v>
      </c>
      <c r="U151" s="129"/>
      <c r="V151" s="129"/>
      <c r="W151" s="129"/>
    </row>
    <row r="152" s="130" customFormat="true" ht="27.6" hidden="false" customHeight="false" outlineLevel="0" collapsed="false">
      <c r="A152" s="149"/>
      <c r="B152" s="142"/>
      <c r="C152" s="122" t="s">
        <v>31</v>
      </c>
      <c r="D152" s="132"/>
      <c r="E152" s="132"/>
      <c r="F152" s="126" t="n">
        <f aca="false">SUM(G152:S152)</f>
        <v>1575.93909090909</v>
      </c>
      <c r="G152" s="126" t="n">
        <v>640</v>
      </c>
      <c r="H152" s="126" t="n">
        <v>563.2</v>
      </c>
      <c r="I152" s="125" t="n">
        <f aca="false">IFERROR(H152/G152, 0)</f>
        <v>0.88</v>
      </c>
      <c r="J152" s="126" t="n">
        <v>371.2</v>
      </c>
      <c r="K152" s="125" t="n">
        <f aca="false">IFERROR(J152/H152, 0)</f>
        <v>0.659090909090909</v>
      </c>
      <c r="L152" s="126"/>
      <c r="M152" s="125"/>
      <c r="N152" s="126"/>
      <c r="O152" s="125"/>
      <c r="P152" s="126"/>
      <c r="Q152" s="125"/>
      <c r="R152" s="126" t="n">
        <f aca="false">P152*104/100</f>
        <v>0</v>
      </c>
      <c r="S152" s="127"/>
      <c r="T152" s="125"/>
      <c r="U152" s="129"/>
      <c r="V152" s="129"/>
      <c r="W152" s="129"/>
    </row>
    <row r="153" s="130" customFormat="true" ht="16.5" hidden="false" customHeight="true" outlineLevel="0" collapsed="false">
      <c r="A153" s="149"/>
      <c r="B153" s="142"/>
      <c r="C153" s="122" t="s">
        <v>32</v>
      </c>
      <c r="D153" s="132"/>
      <c r="E153" s="132"/>
      <c r="F153" s="126" t="n">
        <f aca="false">SUM(G153:S153)</f>
        <v>927693.465739145</v>
      </c>
      <c r="G153" s="126" t="n">
        <v>125668.37448</v>
      </c>
      <c r="H153" s="126" t="n">
        <v>111008.37913</v>
      </c>
      <c r="I153" s="125" t="n">
        <f aca="false">IFERROR(H153/G153, 0)</f>
        <v>0.883343797429853</v>
      </c>
      <c r="J153" s="126" t="n">
        <v>117763.6968</v>
      </c>
      <c r="K153" s="125" t="n">
        <f aca="false">IFERROR(J153/H153, 0)</f>
        <v>1.06085412401247</v>
      </c>
      <c r="L153" s="126" t="n">
        <v>132777.23372</v>
      </c>
      <c r="M153" s="125" t="n">
        <f aca="false">IFERROR(L153/J153, 0)</f>
        <v>1.12748866864716</v>
      </c>
      <c r="N153" s="126" t="n">
        <v>141813.155</v>
      </c>
      <c r="O153" s="125" t="n">
        <f aca="false">IFERROR(N153/L153, 0)</f>
        <v>1.06805324246365</v>
      </c>
      <c r="P153" s="126" t="n">
        <v>146400.713</v>
      </c>
      <c r="Q153" s="125" t="n">
        <f aca="false">IFERROR(P153/N153, 0)</f>
        <v>1.03234931202257</v>
      </c>
      <c r="R153" s="126" t="n">
        <f aca="false">P153*104/100</f>
        <v>152256.74152</v>
      </c>
      <c r="S153" s="127"/>
      <c r="T153" s="125" t="n">
        <f aca="false">IFERROR(R153/P153, 0)</f>
        <v>1.04</v>
      </c>
      <c r="U153" s="129"/>
      <c r="V153" s="129"/>
      <c r="W153" s="129"/>
    </row>
    <row r="154" s="130" customFormat="true" ht="15.75" hidden="false" customHeight="true" outlineLevel="0" collapsed="false">
      <c r="A154" s="149"/>
      <c r="B154" s="142"/>
      <c r="C154" s="122" t="s">
        <v>33</v>
      </c>
      <c r="D154" s="132"/>
      <c r="E154" s="132"/>
      <c r="F154" s="126" t="n">
        <f aca="false">SUM(G154:S154)</f>
        <v>0</v>
      </c>
      <c r="G154" s="126"/>
      <c r="H154" s="126"/>
      <c r="I154" s="125"/>
      <c r="J154" s="126"/>
      <c r="K154" s="125"/>
      <c r="L154" s="126"/>
      <c r="M154" s="125"/>
      <c r="N154" s="126"/>
      <c r="O154" s="125"/>
      <c r="P154" s="126"/>
      <c r="Q154" s="125"/>
      <c r="R154" s="126" t="n">
        <f aca="false">P154*104/100</f>
        <v>0</v>
      </c>
      <c r="S154" s="127"/>
      <c r="T154" s="125"/>
      <c r="U154" s="129"/>
      <c r="V154" s="129"/>
      <c r="W154" s="129"/>
    </row>
    <row r="155" s="130" customFormat="true" ht="32.25" hidden="false" customHeight="true" outlineLevel="0" collapsed="false">
      <c r="A155" s="149"/>
      <c r="B155" s="142"/>
      <c r="C155" s="122" t="s">
        <v>34</v>
      </c>
      <c r="D155" s="132"/>
      <c r="E155" s="132"/>
      <c r="F155" s="126"/>
      <c r="G155" s="126"/>
      <c r="H155" s="126"/>
      <c r="I155" s="125"/>
      <c r="J155" s="126"/>
      <c r="K155" s="125"/>
      <c r="L155" s="126"/>
      <c r="M155" s="125"/>
      <c r="N155" s="126"/>
      <c r="O155" s="125"/>
      <c r="P155" s="126"/>
      <c r="Q155" s="125"/>
      <c r="R155" s="126" t="n">
        <f aca="false">P155*104/100</f>
        <v>0</v>
      </c>
      <c r="S155" s="127"/>
      <c r="T155" s="125"/>
      <c r="U155" s="129"/>
      <c r="V155" s="129"/>
      <c r="W155" s="129"/>
    </row>
    <row r="156" s="130" customFormat="true" ht="23.25" hidden="false" customHeight="true" outlineLevel="0" collapsed="false">
      <c r="A156" s="149"/>
      <c r="B156" s="142"/>
      <c r="C156" s="122" t="s">
        <v>35</v>
      </c>
      <c r="D156" s="132"/>
      <c r="E156" s="132"/>
      <c r="F156" s="126"/>
      <c r="G156" s="126"/>
      <c r="H156" s="126"/>
      <c r="I156" s="125"/>
      <c r="J156" s="126"/>
      <c r="K156" s="125"/>
      <c r="L156" s="126"/>
      <c r="M156" s="125"/>
      <c r="N156" s="126"/>
      <c r="O156" s="125"/>
      <c r="P156" s="126"/>
      <c r="Q156" s="125"/>
      <c r="R156" s="126" t="n">
        <f aca="false">P156*104/100</f>
        <v>0</v>
      </c>
      <c r="S156" s="127"/>
      <c r="T156" s="125"/>
      <c r="U156" s="129"/>
      <c r="V156" s="129"/>
      <c r="W156" s="129"/>
    </row>
    <row r="157" s="130" customFormat="true" ht="34.5" hidden="false" customHeight="true" outlineLevel="0" collapsed="false">
      <c r="A157" s="149"/>
      <c r="B157" s="142"/>
      <c r="C157" s="122" t="s">
        <v>36</v>
      </c>
      <c r="D157" s="132"/>
      <c r="E157" s="132"/>
      <c r="F157" s="126"/>
      <c r="G157" s="126"/>
      <c r="H157" s="126"/>
      <c r="I157" s="125"/>
      <c r="J157" s="126"/>
      <c r="K157" s="125"/>
      <c r="L157" s="126"/>
      <c r="M157" s="125"/>
      <c r="N157" s="126"/>
      <c r="O157" s="125"/>
      <c r="P157" s="126"/>
      <c r="Q157" s="125"/>
      <c r="R157" s="126" t="n">
        <f aca="false">P157*104/100</f>
        <v>0</v>
      </c>
      <c r="S157" s="127"/>
      <c r="T157" s="125"/>
      <c r="U157" s="129"/>
      <c r="V157" s="129"/>
      <c r="W157" s="129"/>
    </row>
    <row r="158" s="130" customFormat="true" ht="20.25" hidden="false" customHeight="true" outlineLevel="0" collapsed="false">
      <c r="A158" s="149" t="s">
        <v>232</v>
      </c>
      <c r="B158" s="142" t="s">
        <v>132</v>
      </c>
      <c r="C158" s="122" t="s">
        <v>30</v>
      </c>
      <c r="D158" s="132"/>
      <c r="E158" s="132"/>
      <c r="F158" s="126" t="n">
        <f aca="false">SUM(G158:R158)</f>
        <v>591535.28199956</v>
      </c>
      <c r="G158" s="126" t="n">
        <f aca="false">SUM(G159:G168)</f>
        <v>139533.03962</v>
      </c>
      <c r="H158" s="126" t="n">
        <f aca="false">SUM(H159:H168)</f>
        <v>141284.34</v>
      </c>
      <c r="I158" s="125" t="n">
        <f aca="false">IFERROR(H158/G158, 0)</f>
        <v>1.0125511519334</v>
      </c>
      <c r="J158" s="126" t="n">
        <f aca="false">SUM(J159:J168)</f>
        <v>111576.42679</v>
      </c>
      <c r="K158" s="125" t="n">
        <f aca="false">IFERROR(J158/H158, 0)</f>
        <v>0.789729610443734</v>
      </c>
      <c r="L158" s="126" t="n">
        <f aca="false">SUM(L159:L168)</f>
        <v>32686.94028</v>
      </c>
      <c r="M158" s="125" t="n">
        <f aca="false">IFERROR(L158/J158, 0)</f>
        <v>0.292955610968979</v>
      </c>
      <c r="N158" s="126" t="n">
        <f aca="false">SUM(N159:N168)</f>
        <v>54833.423</v>
      </c>
      <c r="O158" s="125" t="n">
        <f aca="false">IFERROR(N158/L158, 0)</f>
        <v>1.67753306153133</v>
      </c>
      <c r="P158" s="126" t="n">
        <f aca="false">SUM(P159:P168)</f>
        <v>54713.893</v>
      </c>
      <c r="Q158" s="125" t="n">
        <f aca="false">IFERROR(P158/N158, 0)</f>
        <v>0.997820125145206</v>
      </c>
      <c r="R158" s="126" t="n">
        <f aca="false">SUM(R159:R168)</f>
        <v>56902.44872</v>
      </c>
      <c r="S158" s="127"/>
      <c r="T158" s="125" t="n">
        <f aca="false">IFERROR(R158/P158, 0)</f>
        <v>1.04</v>
      </c>
      <c r="U158" s="129"/>
      <c r="V158" s="129"/>
      <c r="W158" s="129"/>
    </row>
    <row r="159" s="130" customFormat="true" ht="36" hidden="false" customHeight="true" outlineLevel="0" collapsed="false">
      <c r="A159" s="149"/>
      <c r="B159" s="142"/>
      <c r="C159" s="122" t="s">
        <v>31</v>
      </c>
      <c r="D159" s="132" t="s">
        <v>42</v>
      </c>
      <c r="E159" s="132" t="s">
        <v>115</v>
      </c>
      <c r="F159" s="126" t="n">
        <f aca="false">SUM(G159:R159)</f>
        <v>0</v>
      </c>
      <c r="G159" s="126"/>
      <c r="H159" s="126"/>
      <c r="I159" s="125"/>
      <c r="J159" s="126"/>
      <c r="K159" s="125"/>
      <c r="L159" s="126"/>
      <c r="M159" s="125"/>
      <c r="N159" s="126"/>
      <c r="O159" s="125"/>
      <c r="P159" s="126"/>
      <c r="Q159" s="125"/>
      <c r="R159" s="126" t="n">
        <f aca="false">P159*104/100</f>
        <v>0</v>
      </c>
      <c r="S159" s="127"/>
      <c r="T159" s="125"/>
      <c r="U159" s="129"/>
      <c r="V159" s="129"/>
      <c r="W159" s="129"/>
    </row>
    <row r="160" s="130" customFormat="true" ht="21.75" hidden="false" customHeight="true" outlineLevel="0" collapsed="false">
      <c r="A160" s="149"/>
      <c r="B160" s="142"/>
      <c r="C160" s="122" t="s">
        <v>32</v>
      </c>
      <c r="D160" s="132" t="s">
        <v>42</v>
      </c>
      <c r="E160" s="132" t="s">
        <v>115</v>
      </c>
      <c r="F160" s="126" t="n">
        <f aca="false">SUM(G160:R160)</f>
        <v>563441.841714352</v>
      </c>
      <c r="G160" s="126" t="n">
        <f aca="false">139533.03962-4100</f>
        <v>135433.03962</v>
      </c>
      <c r="H160" s="126" t="n">
        <f aca="false">141284.34-H166</f>
        <v>136684.34</v>
      </c>
      <c r="I160" s="125" t="n">
        <f aca="false">IFERROR(H160/G160, 0)</f>
        <v>1.00923925493743</v>
      </c>
      <c r="J160" s="126" t="n">
        <f aca="false">16150+91226.42679</f>
        <v>107376.42679</v>
      </c>
      <c r="K160" s="125" t="n">
        <f aca="false">IFERROR(J160/H160, 0)</f>
        <v>0.785579582781758</v>
      </c>
      <c r="L160" s="126" t="n">
        <v>28286.94028</v>
      </c>
      <c r="M160" s="125" t="n">
        <f aca="false">IFERROR(L160/J160, 0)</f>
        <v>0.2634371539977</v>
      </c>
      <c r="N160" s="126" t="n">
        <v>51191.513</v>
      </c>
      <c r="O160" s="125" t="n">
        <f aca="false">IFERROR(N160/L160, 0)</f>
        <v>1.8097225254226</v>
      </c>
      <c r="P160" s="126" t="n">
        <v>51208.193</v>
      </c>
      <c r="Q160" s="125" t="n">
        <f aca="false">IFERROR(P160/N160, 0)</f>
        <v>1.00032583526101</v>
      </c>
      <c r="R160" s="126" t="n">
        <f aca="false">P160*104/100</f>
        <v>53256.52072</v>
      </c>
      <c r="S160" s="127"/>
      <c r="T160" s="125" t="n">
        <f aca="false">IFERROR(R160/P160, 0)</f>
        <v>1.04</v>
      </c>
      <c r="U160" s="129"/>
      <c r="V160" s="129"/>
      <c r="W160" s="129"/>
    </row>
    <row r="161" s="130" customFormat="true" ht="27.6" hidden="false" customHeight="false" outlineLevel="0" collapsed="false">
      <c r="A161" s="149"/>
      <c r="B161" s="142"/>
      <c r="C161" s="122" t="s">
        <v>33</v>
      </c>
      <c r="D161" s="132"/>
      <c r="E161" s="132"/>
      <c r="F161" s="126"/>
      <c r="G161" s="126"/>
      <c r="H161" s="126"/>
      <c r="I161" s="125"/>
      <c r="J161" s="126"/>
      <c r="K161" s="125"/>
      <c r="L161" s="126"/>
      <c r="M161" s="125"/>
      <c r="N161" s="126"/>
      <c r="O161" s="125"/>
      <c r="P161" s="126"/>
      <c r="Q161" s="125"/>
      <c r="R161" s="126" t="n">
        <f aca="false">P161*104/100</f>
        <v>0</v>
      </c>
      <c r="S161" s="127"/>
      <c r="T161" s="125"/>
      <c r="U161" s="129"/>
      <c r="V161" s="129"/>
      <c r="W161" s="129"/>
    </row>
    <row r="162" s="130" customFormat="true" ht="34.5" hidden="false" customHeight="true" outlineLevel="0" collapsed="false">
      <c r="A162" s="149"/>
      <c r="B162" s="142"/>
      <c r="C162" s="122" t="s">
        <v>31</v>
      </c>
      <c r="D162" s="132"/>
      <c r="E162" s="132"/>
      <c r="F162" s="126"/>
      <c r="G162" s="126"/>
      <c r="H162" s="126"/>
      <c r="I162" s="125"/>
      <c r="J162" s="126"/>
      <c r="K162" s="125"/>
      <c r="L162" s="126"/>
      <c r="M162" s="125"/>
      <c r="N162" s="126"/>
      <c r="O162" s="125"/>
      <c r="P162" s="126"/>
      <c r="Q162" s="125"/>
      <c r="R162" s="126" t="n">
        <f aca="false">P162*104/100</f>
        <v>0</v>
      </c>
      <c r="S162" s="127"/>
      <c r="T162" s="125"/>
      <c r="U162" s="129"/>
      <c r="V162" s="129"/>
      <c r="W162" s="129"/>
    </row>
    <row r="163" s="130" customFormat="true" ht="21.45" hidden="false" customHeight="true" outlineLevel="0" collapsed="false">
      <c r="A163" s="149"/>
      <c r="B163" s="142"/>
      <c r="C163" s="122" t="s">
        <v>32</v>
      </c>
      <c r="D163" s="132" t="s">
        <v>58</v>
      </c>
      <c r="E163" s="132" t="s">
        <v>115</v>
      </c>
      <c r="F163" s="126" t="n">
        <f aca="false">SUM(G163:R163)</f>
        <v>0</v>
      </c>
      <c r="G163" s="126" t="n">
        <f aca="false">7000-7000</f>
        <v>0</v>
      </c>
      <c r="H163" s="126" t="n">
        <v>0</v>
      </c>
      <c r="I163" s="125"/>
      <c r="J163" s="126" t="n">
        <v>0</v>
      </c>
      <c r="K163" s="125"/>
      <c r="L163" s="126" t="n">
        <v>0</v>
      </c>
      <c r="M163" s="125"/>
      <c r="N163" s="126" t="n">
        <v>0</v>
      </c>
      <c r="O163" s="125"/>
      <c r="P163" s="126" t="n">
        <v>0</v>
      </c>
      <c r="Q163" s="125"/>
      <c r="R163" s="126" t="n">
        <f aca="false">P163*104/100</f>
        <v>0</v>
      </c>
      <c r="S163" s="127"/>
      <c r="T163" s="125"/>
      <c r="U163" s="129"/>
      <c r="V163" s="129"/>
      <c r="W163" s="129"/>
    </row>
    <row r="164" s="130" customFormat="true" ht="27.6" hidden="false" customHeight="false" outlineLevel="0" collapsed="false">
      <c r="A164" s="149"/>
      <c r="B164" s="142"/>
      <c r="C164" s="122" t="s">
        <v>33</v>
      </c>
      <c r="D164" s="132"/>
      <c r="E164" s="132"/>
      <c r="F164" s="126"/>
      <c r="G164" s="126"/>
      <c r="H164" s="126"/>
      <c r="I164" s="125"/>
      <c r="J164" s="126"/>
      <c r="K164" s="125"/>
      <c r="L164" s="126"/>
      <c r="M164" s="125"/>
      <c r="N164" s="126"/>
      <c r="O164" s="125"/>
      <c r="P164" s="126"/>
      <c r="Q164" s="125"/>
      <c r="R164" s="126" t="n">
        <f aca="false">P164*104/100</f>
        <v>0</v>
      </c>
      <c r="S164" s="127"/>
      <c r="T164" s="125"/>
      <c r="U164" s="129"/>
      <c r="V164" s="129"/>
      <c r="W164" s="129"/>
    </row>
    <row r="165" s="130" customFormat="true" ht="30.45" hidden="false" customHeight="true" outlineLevel="0" collapsed="false">
      <c r="A165" s="149"/>
      <c r="B165" s="142"/>
      <c r="C165" s="151" t="s">
        <v>31</v>
      </c>
      <c r="D165" s="132"/>
      <c r="E165" s="132"/>
      <c r="F165" s="126"/>
      <c r="G165" s="126"/>
      <c r="H165" s="126"/>
      <c r="I165" s="125"/>
      <c r="J165" s="126"/>
      <c r="K165" s="125"/>
      <c r="L165" s="126"/>
      <c r="M165" s="125"/>
      <c r="N165" s="126"/>
      <c r="O165" s="125"/>
      <c r="P165" s="126"/>
      <c r="Q165" s="125"/>
      <c r="R165" s="126" t="n">
        <f aca="false">P165*104/100</f>
        <v>0</v>
      </c>
      <c r="S165" s="127"/>
      <c r="T165" s="125"/>
      <c r="U165" s="129"/>
      <c r="V165" s="129"/>
      <c r="W165" s="129"/>
    </row>
    <row r="166" s="130" customFormat="true" ht="15.75" hidden="false" customHeight="true" outlineLevel="0" collapsed="false">
      <c r="A166" s="149"/>
      <c r="B166" s="142"/>
      <c r="C166" s="122" t="s">
        <v>32</v>
      </c>
      <c r="D166" s="132" t="s">
        <v>116</v>
      </c>
      <c r="E166" s="132" t="s">
        <v>115</v>
      </c>
      <c r="F166" s="126" t="n">
        <f aca="false">SUM(G166:S166)</f>
        <v>28098.410919859</v>
      </c>
      <c r="G166" s="126" t="n">
        <v>4100</v>
      </c>
      <c r="H166" s="126" t="n">
        <v>4600</v>
      </c>
      <c r="I166" s="125" t="n">
        <f aca="false">IFERROR(H166/G166, 0)</f>
        <v>1.1219512195122</v>
      </c>
      <c r="J166" s="126" t="n">
        <v>4200</v>
      </c>
      <c r="K166" s="125" t="n">
        <f aca="false">IFERROR(J166/H166, 0)</f>
        <v>0.91304347826087</v>
      </c>
      <c r="L166" s="126" t="n">
        <v>4400</v>
      </c>
      <c r="M166" s="125" t="n">
        <f aca="false">IFERROR(L166/J166, 0)</f>
        <v>1.04761904761905</v>
      </c>
      <c r="N166" s="126" t="n">
        <v>3641.91</v>
      </c>
      <c r="O166" s="125" t="n">
        <f aca="false">IFERROR(N166/L166, 0)</f>
        <v>0.827706818181818</v>
      </c>
      <c r="P166" s="126" t="n">
        <v>3505.7</v>
      </c>
      <c r="Q166" s="125" t="n">
        <f aca="false">IFERROR(P166/N166, 0)</f>
        <v>0.962599295424654</v>
      </c>
      <c r="R166" s="126" t="n">
        <f aca="false">P166*104/100</f>
        <v>3645.928</v>
      </c>
      <c r="S166" s="127"/>
      <c r="T166" s="125" t="n">
        <f aca="false">IFERROR(R166/P166, 0)</f>
        <v>1.04</v>
      </c>
      <c r="U166" s="150" t="s">
        <v>233</v>
      </c>
      <c r="V166" s="150"/>
      <c r="W166" s="150"/>
    </row>
    <row r="167" s="130" customFormat="true" ht="27.6" hidden="false" customHeight="false" outlineLevel="0" collapsed="false">
      <c r="A167" s="149"/>
      <c r="B167" s="142"/>
      <c r="C167" s="122" t="s">
        <v>33</v>
      </c>
      <c r="D167" s="132"/>
      <c r="E167" s="132"/>
      <c r="F167" s="126"/>
      <c r="G167" s="126"/>
      <c r="H167" s="126"/>
      <c r="I167" s="125"/>
      <c r="J167" s="126"/>
      <c r="K167" s="125"/>
      <c r="L167" s="126"/>
      <c r="M167" s="125"/>
      <c r="N167" s="126"/>
      <c r="O167" s="125"/>
      <c r="P167" s="126"/>
      <c r="Q167" s="125"/>
      <c r="R167" s="126" t="n">
        <f aca="false">P167*104/100</f>
        <v>0</v>
      </c>
      <c r="S167" s="127"/>
      <c r="T167" s="125"/>
      <c r="U167" s="129"/>
      <c r="V167" s="129"/>
      <c r="W167" s="129"/>
    </row>
    <row r="168" s="130" customFormat="true" ht="30.75" hidden="false" customHeight="true" outlineLevel="0" collapsed="false">
      <c r="A168" s="149"/>
      <c r="B168" s="142"/>
      <c r="C168" s="122" t="s">
        <v>34</v>
      </c>
      <c r="D168" s="132"/>
      <c r="E168" s="132"/>
      <c r="F168" s="126"/>
      <c r="G168" s="126"/>
      <c r="H168" s="126"/>
      <c r="I168" s="125"/>
      <c r="J168" s="126"/>
      <c r="K168" s="125"/>
      <c r="L168" s="126"/>
      <c r="M168" s="125"/>
      <c r="N168" s="126"/>
      <c r="O168" s="125"/>
      <c r="P168" s="126"/>
      <c r="Q168" s="125"/>
      <c r="R168" s="126" t="n">
        <f aca="false">P168*104/100</f>
        <v>0</v>
      </c>
      <c r="S168" s="127"/>
      <c r="T168" s="125"/>
      <c r="U168" s="129"/>
      <c r="V168" s="129"/>
      <c r="W168" s="129"/>
    </row>
    <row r="169" s="130" customFormat="true" ht="27.6" hidden="false" customHeight="false" outlineLevel="0" collapsed="false">
      <c r="A169" s="149"/>
      <c r="B169" s="142"/>
      <c r="C169" s="122" t="s">
        <v>35</v>
      </c>
      <c r="D169" s="132"/>
      <c r="E169" s="132"/>
      <c r="F169" s="126"/>
      <c r="G169" s="126"/>
      <c r="H169" s="126"/>
      <c r="I169" s="125"/>
      <c r="J169" s="126"/>
      <c r="K169" s="125"/>
      <c r="L169" s="126"/>
      <c r="M169" s="125"/>
      <c r="N169" s="126"/>
      <c r="O169" s="125"/>
      <c r="P169" s="126"/>
      <c r="Q169" s="125"/>
      <c r="R169" s="126" t="n">
        <f aca="false">P169*104/100</f>
        <v>0</v>
      </c>
      <c r="S169" s="127"/>
      <c r="T169" s="125"/>
      <c r="U169" s="129"/>
      <c r="V169" s="129"/>
      <c r="W169" s="129"/>
    </row>
    <row r="170" s="130" customFormat="true" ht="41.4" hidden="false" customHeight="false" outlineLevel="0" collapsed="false">
      <c r="A170" s="149"/>
      <c r="B170" s="142"/>
      <c r="C170" s="122" t="s">
        <v>36</v>
      </c>
      <c r="D170" s="132"/>
      <c r="E170" s="132"/>
      <c r="F170" s="126"/>
      <c r="G170" s="126"/>
      <c r="H170" s="126"/>
      <c r="I170" s="125"/>
      <c r="J170" s="126"/>
      <c r="K170" s="125"/>
      <c r="L170" s="126"/>
      <c r="M170" s="125"/>
      <c r="N170" s="126"/>
      <c r="O170" s="125"/>
      <c r="P170" s="126"/>
      <c r="Q170" s="125"/>
      <c r="R170" s="126" t="n">
        <f aca="false">P170*104/100</f>
        <v>0</v>
      </c>
      <c r="S170" s="127"/>
      <c r="T170" s="125"/>
      <c r="U170" s="129"/>
      <c r="V170" s="129"/>
      <c r="W170" s="129"/>
    </row>
    <row r="171" s="130" customFormat="true" ht="22.95" hidden="false" customHeight="true" outlineLevel="0" collapsed="false">
      <c r="A171" s="149" t="s">
        <v>234</v>
      </c>
      <c r="B171" s="142" t="s">
        <v>134</v>
      </c>
      <c r="C171" s="122" t="s">
        <v>30</v>
      </c>
      <c r="D171" s="132" t="s">
        <v>42</v>
      </c>
      <c r="E171" s="132" t="s">
        <v>115</v>
      </c>
      <c r="F171" s="126" t="n">
        <f aca="false">SUM(G171:R171)</f>
        <v>155926.23041933</v>
      </c>
      <c r="G171" s="126" t="n">
        <f aca="false">SUM(G172:G177)</f>
        <v>21108.24472</v>
      </c>
      <c r="H171" s="126" t="n">
        <f aca="false">SUM(H172:H177)</f>
        <v>19764.47078</v>
      </c>
      <c r="I171" s="125" t="n">
        <f aca="false">IFERROR(H171/G171,0)</f>
        <v>0.936338906535095</v>
      </c>
      <c r="J171" s="126" t="n">
        <f aca="false">SUM(J172:J177)</f>
        <v>20333.92173</v>
      </c>
      <c r="K171" s="125" t="n">
        <f aca="false">IFERROR(J171/H171,0)</f>
        <v>1.02881184911747</v>
      </c>
      <c r="L171" s="126" t="n">
        <f aca="false">SUM(L172:L177)</f>
        <v>21591.4352</v>
      </c>
      <c r="M171" s="125" t="n">
        <f aca="false">IFERROR(L171/J171,0)</f>
        <v>1.06184313516584</v>
      </c>
      <c r="N171" s="126" t="n">
        <f aca="false">SUM(N172:N177)</f>
        <v>24053.624</v>
      </c>
      <c r="O171" s="125" t="n">
        <f aca="false">IFERROR(N171/L171,0)</f>
        <v>1.11403543938571</v>
      </c>
      <c r="P171" s="126" t="n">
        <f aca="false">SUM(P172:P177)</f>
        <v>24053.624</v>
      </c>
      <c r="Q171" s="125" t="n">
        <f aca="false">IFERROR(P171/N171,0)</f>
        <v>1</v>
      </c>
      <c r="R171" s="126" t="n">
        <f aca="false">SUM(R172:R177)</f>
        <v>25015.76896</v>
      </c>
      <c r="S171" s="127"/>
      <c r="T171" s="125" t="n">
        <f aca="false">IFERROR(R171/P171,0)</f>
        <v>1.04</v>
      </c>
      <c r="U171" s="129"/>
      <c r="V171" s="129"/>
      <c r="W171" s="129"/>
    </row>
    <row r="172" s="130" customFormat="true" ht="35.7" hidden="false" customHeight="true" outlineLevel="0" collapsed="false">
      <c r="A172" s="149"/>
      <c r="B172" s="142"/>
      <c r="C172" s="122" t="s">
        <v>31</v>
      </c>
      <c r="D172" s="132"/>
      <c r="E172" s="132"/>
      <c r="F172" s="126" t="n">
        <f aca="false">SUM(G172:R172)</f>
        <v>0</v>
      </c>
      <c r="G172" s="126"/>
      <c r="H172" s="126"/>
      <c r="I172" s="125"/>
      <c r="J172" s="126"/>
      <c r="K172" s="125"/>
      <c r="L172" s="126"/>
      <c r="M172" s="125"/>
      <c r="N172" s="126"/>
      <c r="O172" s="125"/>
      <c r="P172" s="126"/>
      <c r="Q172" s="125"/>
      <c r="R172" s="126"/>
      <c r="S172" s="127"/>
      <c r="T172" s="125"/>
      <c r="U172" s="129"/>
      <c r="V172" s="129"/>
      <c r="W172" s="129"/>
    </row>
    <row r="173" s="130" customFormat="true" ht="19.5" hidden="false" customHeight="true" outlineLevel="0" collapsed="false">
      <c r="A173" s="149"/>
      <c r="B173" s="142"/>
      <c r="C173" s="122" t="s">
        <v>32</v>
      </c>
      <c r="D173" s="132"/>
      <c r="E173" s="132"/>
      <c r="F173" s="126" t="n">
        <f aca="false">SUM(G173:R173)</f>
        <v>155926.23041933</v>
      </c>
      <c r="G173" s="126" t="n">
        <v>21108.24472</v>
      </c>
      <c r="H173" s="126" t="n">
        <v>19764.47078</v>
      </c>
      <c r="I173" s="125" t="n">
        <f aca="false">IFERROR(H173/G173,0)</f>
        <v>0.936338906535095</v>
      </c>
      <c r="J173" s="126" t="n">
        <f aca="false">18400.71331+1933.20842</f>
        <v>20333.92173</v>
      </c>
      <c r="K173" s="125" t="n">
        <f aca="false">IFERROR(J173/H173,0)</f>
        <v>1.02881184911747</v>
      </c>
      <c r="L173" s="126" t="n">
        <v>21591.4352</v>
      </c>
      <c r="M173" s="125" t="n">
        <f aca="false">IFERROR(L173/J173,0)</f>
        <v>1.06184313516584</v>
      </c>
      <c r="N173" s="126" t="n">
        <v>24053.624</v>
      </c>
      <c r="O173" s="125" t="n">
        <f aca="false">IFERROR(N173/L173,0)</f>
        <v>1.11403543938571</v>
      </c>
      <c r="P173" s="126" t="n">
        <v>24053.624</v>
      </c>
      <c r="Q173" s="125" t="n">
        <f aca="false">IFERROR(P173/N173,0)</f>
        <v>1</v>
      </c>
      <c r="R173" s="126" t="n">
        <f aca="false">P173*104/100</f>
        <v>25015.76896</v>
      </c>
      <c r="S173" s="127"/>
      <c r="T173" s="125" t="n">
        <f aca="false">IFERROR(R173/P173,0)</f>
        <v>1.04</v>
      </c>
      <c r="U173" s="129"/>
      <c r="V173" s="129"/>
      <c r="W173" s="129"/>
    </row>
    <row r="174" s="130" customFormat="true" ht="27.6" hidden="false" customHeight="false" outlineLevel="0" collapsed="false">
      <c r="A174" s="149"/>
      <c r="B174" s="142"/>
      <c r="C174" s="122" t="s">
        <v>33</v>
      </c>
      <c r="D174" s="132"/>
      <c r="E174" s="132"/>
      <c r="F174" s="126" t="n">
        <f aca="false">SUM(G174:R174)</f>
        <v>0</v>
      </c>
      <c r="G174" s="126"/>
      <c r="H174" s="126"/>
      <c r="I174" s="125"/>
      <c r="J174" s="126"/>
      <c r="K174" s="125"/>
      <c r="L174" s="126"/>
      <c r="M174" s="125"/>
      <c r="N174" s="126"/>
      <c r="O174" s="125"/>
      <c r="P174" s="126"/>
      <c r="Q174" s="125"/>
      <c r="R174" s="126" t="n">
        <f aca="false">P174*104/100</f>
        <v>0</v>
      </c>
      <c r="S174" s="127"/>
      <c r="T174" s="125"/>
      <c r="U174" s="129"/>
      <c r="V174" s="129"/>
      <c r="W174" s="129"/>
    </row>
    <row r="175" s="130" customFormat="true" ht="34.5" hidden="false" customHeight="true" outlineLevel="0" collapsed="false">
      <c r="A175" s="149"/>
      <c r="B175" s="142"/>
      <c r="C175" s="122" t="s">
        <v>34</v>
      </c>
      <c r="D175" s="132"/>
      <c r="E175" s="132"/>
      <c r="F175" s="126"/>
      <c r="G175" s="126"/>
      <c r="H175" s="126"/>
      <c r="I175" s="125"/>
      <c r="J175" s="126"/>
      <c r="K175" s="125"/>
      <c r="L175" s="126"/>
      <c r="M175" s="125"/>
      <c r="N175" s="126"/>
      <c r="O175" s="125"/>
      <c r="P175" s="126"/>
      <c r="Q175" s="125"/>
      <c r="R175" s="126" t="n">
        <f aca="false">P175*104/100</f>
        <v>0</v>
      </c>
      <c r="S175" s="127"/>
      <c r="T175" s="125"/>
      <c r="U175" s="129"/>
      <c r="V175" s="129"/>
      <c r="W175" s="129"/>
    </row>
    <row r="176" s="130" customFormat="true" ht="18" hidden="false" customHeight="true" outlineLevel="0" collapsed="false">
      <c r="A176" s="149"/>
      <c r="B176" s="142"/>
      <c r="C176" s="122" t="s">
        <v>35</v>
      </c>
      <c r="D176" s="132"/>
      <c r="E176" s="132"/>
      <c r="F176" s="126"/>
      <c r="G176" s="126"/>
      <c r="H176" s="126"/>
      <c r="I176" s="125"/>
      <c r="J176" s="126"/>
      <c r="K176" s="125"/>
      <c r="L176" s="126"/>
      <c r="M176" s="125"/>
      <c r="N176" s="126"/>
      <c r="O176" s="125"/>
      <c r="P176" s="126"/>
      <c r="Q176" s="125"/>
      <c r="R176" s="126" t="n">
        <f aca="false">P176*104/100</f>
        <v>0</v>
      </c>
      <c r="S176" s="127"/>
      <c r="T176" s="125"/>
      <c r="U176" s="129"/>
      <c r="V176" s="129"/>
      <c r="W176" s="129"/>
    </row>
    <row r="177" s="130" customFormat="true" ht="41.4" hidden="false" customHeight="false" outlineLevel="0" collapsed="false">
      <c r="A177" s="149"/>
      <c r="B177" s="142"/>
      <c r="C177" s="122" t="s">
        <v>36</v>
      </c>
      <c r="D177" s="132"/>
      <c r="E177" s="132"/>
      <c r="F177" s="126"/>
      <c r="G177" s="126"/>
      <c r="H177" s="126"/>
      <c r="I177" s="125"/>
      <c r="J177" s="126"/>
      <c r="K177" s="125"/>
      <c r="L177" s="126"/>
      <c r="M177" s="125"/>
      <c r="N177" s="126"/>
      <c r="O177" s="125"/>
      <c r="P177" s="126"/>
      <c r="Q177" s="125"/>
      <c r="R177" s="126" t="n">
        <f aca="false">P177*104/100</f>
        <v>0</v>
      </c>
      <c r="S177" s="127"/>
      <c r="T177" s="125"/>
      <c r="U177" s="129"/>
      <c r="V177" s="129"/>
      <c r="W177" s="129"/>
    </row>
    <row r="178" s="130" customFormat="true" ht="18.75" hidden="false" customHeight="true" outlineLevel="0" collapsed="false">
      <c r="A178" s="149" t="s">
        <v>235</v>
      </c>
      <c r="B178" s="142" t="s">
        <v>236</v>
      </c>
      <c r="C178" s="122" t="s">
        <v>30</v>
      </c>
      <c r="D178" s="132" t="s">
        <v>42</v>
      </c>
      <c r="E178" s="132" t="s">
        <v>115</v>
      </c>
      <c r="F178" s="126" t="n">
        <f aca="false">SUM(G178:R178)</f>
        <v>18462.4224225823</v>
      </c>
      <c r="G178" s="126" t="n">
        <f aca="false">SUM(G179:G184)</f>
        <v>350.192</v>
      </c>
      <c r="H178" s="126" t="n">
        <f aca="false">SUM(H179:H184)</f>
        <v>1128.287</v>
      </c>
      <c r="I178" s="125" t="n">
        <f aca="false">IFERROR(H178/G178,0)</f>
        <v>3.22190969525289</v>
      </c>
      <c r="J178" s="126" t="n">
        <f aca="false">SUM(J179:J184)</f>
        <v>2300.29197</v>
      </c>
      <c r="K178" s="125" t="n">
        <f aca="false">IFERROR(J178/H178,0)</f>
        <v>2.03874720704927</v>
      </c>
      <c r="L178" s="126" t="n">
        <f aca="false">SUM(L179:L184)</f>
        <v>4318.89</v>
      </c>
      <c r="M178" s="125" t="n">
        <f aca="false">IFERROR(L178/J178,0)</f>
        <v>1.87753991942162</v>
      </c>
      <c r="N178" s="126" t="n">
        <f aca="false">SUM(N179:N184)</f>
        <v>3494.23</v>
      </c>
      <c r="O178" s="125" t="n">
        <f aca="false">IFERROR(N178/L178,0)</f>
        <v>0.809057419846303</v>
      </c>
      <c r="P178" s="126" t="n">
        <f aca="false">SUM(P179:P184)</f>
        <v>3363.54</v>
      </c>
      <c r="Q178" s="125" t="n">
        <f aca="false">IFERROR(P178/N178,0)</f>
        <v>0.962598340693086</v>
      </c>
      <c r="R178" s="126" t="n">
        <f aca="false">SUM(R179:R184)</f>
        <v>3498.0816</v>
      </c>
      <c r="S178" s="126" t="n">
        <f aca="false">SUM(S179:S184)</f>
        <v>0</v>
      </c>
      <c r="T178" s="125" t="n">
        <f aca="false">IFERROR(R178/P178,0)</f>
        <v>1.04</v>
      </c>
      <c r="U178" s="126" t="n">
        <f aca="false">SUM(U179:U184)</f>
        <v>0</v>
      </c>
      <c r="V178" s="126" t="n">
        <f aca="false">SUM(V179:V184)</f>
        <v>0</v>
      </c>
      <c r="W178" s="126" t="n">
        <f aca="false">SUM(W179:W184)</f>
        <v>0</v>
      </c>
      <c r="X178" s="126" t="n">
        <f aca="false">SUM(X179:X184)</f>
        <v>0</v>
      </c>
    </row>
    <row r="179" s="130" customFormat="true" ht="27.6" hidden="false" customHeight="false" outlineLevel="0" collapsed="false">
      <c r="A179" s="149"/>
      <c r="B179" s="142"/>
      <c r="C179" s="122" t="s">
        <v>31</v>
      </c>
      <c r="D179" s="132"/>
      <c r="E179" s="132"/>
      <c r="F179" s="126" t="n">
        <f aca="false">SUM(G179:R179)</f>
        <v>0</v>
      </c>
      <c r="G179" s="126"/>
      <c r="H179" s="126"/>
      <c r="I179" s="125"/>
      <c r="J179" s="126"/>
      <c r="K179" s="125"/>
      <c r="L179" s="126"/>
      <c r="M179" s="125"/>
      <c r="N179" s="126"/>
      <c r="O179" s="125"/>
      <c r="P179" s="126"/>
      <c r="Q179" s="125"/>
      <c r="R179" s="126"/>
      <c r="S179" s="127"/>
      <c r="T179" s="125"/>
      <c r="U179" s="129"/>
      <c r="V179" s="129"/>
      <c r="W179" s="129"/>
    </row>
    <row r="180" s="130" customFormat="true" ht="21.45" hidden="false" customHeight="true" outlineLevel="0" collapsed="false">
      <c r="A180" s="149"/>
      <c r="B180" s="142"/>
      <c r="C180" s="122" t="s">
        <v>32</v>
      </c>
      <c r="D180" s="132"/>
      <c r="E180" s="132"/>
      <c r="F180" s="126" t="n">
        <f aca="false">SUM(G180:R180)</f>
        <v>18462.4224225823</v>
      </c>
      <c r="G180" s="126" t="n">
        <v>350.192</v>
      </c>
      <c r="H180" s="126" t="n">
        <v>1128.287</v>
      </c>
      <c r="I180" s="125" t="n">
        <f aca="false">IFERROR(H180/G180,0)</f>
        <v>3.22190969525289</v>
      </c>
      <c r="J180" s="126" t="n">
        <v>2300.29197</v>
      </c>
      <c r="K180" s="125" t="n">
        <f aca="false">IFERROR(J180/H180,0)</f>
        <v>2.03874720704927</v>
      </c>
      <c r="L180" s="126" t="n">
        <v>4318.89</v>
      </c>
      <c r="M180" s="125" t="n">
        <f aca="false">IFERROR(L180/J180,0)</f>
        <v>1.87753991942162</v>
      </c>
      <c r="N180" s="126" t="n">
        <v>3494.23</v>
      </c>
      <c r="O180" s="125" t="n">
        <f aca="false">IFERROR(N180/L180,0)</f>
        <v>0.809057419846303</v>
      </c>
      <c r="P180" s="126" t="n">
        <v>3363.54</v>
      </c>
      <c r="Q180" s="125" t="n">
        <f aca="false">IFERROR(P180/N180,0)</f>
        <v>0.962598340693086</v>
      </c>
      <c r="R180" s="126" t="n">
        <f aca="false">P180*104/100</f>
        <v>3498.0816</v>
      </c>
      <c r="S180" s="127"/>
      <c r="T180" s="125" t="n">
        <f aca="false">IFERROR(R180/P180,0)</f>
        <v>1.04</v>
      </c>
      <c r="U180" s="129"/>
      <c r="V180" s="129"/>
      <c r="W180" s="129"/>
    </row>
    <row r="181" s="130" customFormat="true" ht="27.6" hidden="false" customHeight="false" outlineLevel="0" collapsed="false">
      <c r="A181" s="149"/>
      <c r="B181" s="142"/>
      <c r="C181" s="122" t="s">
        <v>33</v>
      </c>
      <c r="D181" s="132"/>
      <c r="E181" s="132"/>
      <c r="F181" s="126" t="n">
        <f aca="false">SUM(G181:R181)</f>
        <v>0</v>
      </c>
      <c r="G181" s="126"/>
      <c r="H181" s="126"/>
      <c r="I181" s="125"/>
      <c r="J181" s="126"/>
      <c r="K181" s="125"/>
      <c r="L181" s="126"/>
      <c r="M181" s="125"/>
      <c r="N181" s="126"/>
      <c r="O181" s="125"/>
      <c r="P181" s="126"/>
      <c r="Q181" s="125"/>
      <c r="R181" s="126" t="n">
        <f aca="false">P181*104/100</f>
        <v>0</v>
      </c>
      <c r="S181" s="127"/>
      <c r="T181" s="125"/>
      <c r="U181" s="129"/>
      <c r="V181" s="129"/>
      <c r="W181" s="129"/>
    </row>
    <row r="182" s="130" customFormat="true" ht="32.25" hidden="false" customHeight="true" outlineLevel="0" collapsed="false">
      <c r="A182" s="149"/>
      <c r="B182" s="142"/>
      <c r="C182" s="122" t="s">
        <v>34</v>
      </c>
      <c r="D182" s="132"/>
      <c r="E182" s="132"/>
      <c r="F182" s="126"/>
      <c r="G182" s="126"/>
      <c r="H182" s="126"/>
      <c r="I182" s="125"/>
      <c r="J182" s="126"/>
      <c r="K182" s="125"/>
      <c r="L182" s="126"/>
      <c r="M182" s="125"/>
      <c r="N182" s="126"/>
      <c r="O182" s="125"/>
      <c r="P182" s="126"/>
      <c r="Q182" s="125"/>
      <c r="R182" s="126" t="n">
        <f aca="false">P182*104/100</f>
        <v>0</v>
      </c>
      <c r="S182" s="127"/>
      <c r="T182" s="125"/>
      <c r="U182" s="129"/>
      <c r="V182" s="129"/>
      <c r="W182" s="129"/>
    </row>
    <row r="183" s="130" customFormat="true" ht="19.5" hidden="false" customHeight="true" outlineLevel="0" collapsed="false">
      <c r="A183" s="149"/>
      <c r="B183" s="142"/>
      <c r="C183" s="122" t="s">
        <v>35</v>
      </c>
      <c r="D183" s="132"/>
      <c r="E183" s="132"/>
      <c r="F183" s="126"/>
      <c r="G183" s="126"/>
      <c r="H183" s="126"/>
      <c r="I183" s="125"/>
      <c r="J183" s="126"/>
      <c r="K183" s="125"/>
      <c r="L183" s="126"/>
      <c r="M183" s="125"/>
      <c r="N183" s="126"/>
      <c r="O183" s="125"/>
      <c r="P183" s="126"/>
      <c r="Q183" s="125"/>
      <c r="R183" s="126" t="n">
        <f aca="false">P183*104/100</f>
        <v>0</v>
      </c>
      <c r="S183" s="127"/>
      <c r="T183" s="125"/>
      <c r="U183" s="129"/>
      <c r="V183" s="129"/>
      <c r="W183" s="129"/>
    </row>
    <row r="184" s="130" customFormat="true" ht="54" hidden="false" customHeight="true" outlineLevel="0" collapsed="false">
      <c r="A184" s="149"/>
      <c r="B184" s="142"/>
      <c r="C184" s="122" t="s">
        <v>36</v>
      </c>
      <c r="D184" s="132"/>
      <c r="E184" s="132"/>
      <c r="F184" s="126"/>
      <c r="G184" s="126"/>
      <c r="H184" s="126"/>
      <c r="I184" s="125"/>
      <c r="J184" s="126"/>
      <c r="K184" s="125"/>
      <c r="L184" s="126"/>
      <c r="M184" s="125"/>
      <c r="N184" s="126"/>
      <c r="O184" s="125"/>
      <c r="P184" s="126"/>
      <c r="Q184" s="125"/>
      <c r="R184" s="126" t="n">
        <f aca="false">P184*104/100</f>
        <v>0</v>
      </c>
      <c r="S184" s="127"/>
      <c r="T184" s="125"/>
      <c r="U184" s="129"/>
      <c r="V184" s="129"/>
      <c r="W184" s="129"/>
    </row>
    <row r="185" s="130" customFormat="true" ht="21.75" hidden="false" customHeight="true" outlineLevel="0" collapsed="false">
      <c r="A185" s="149" t="s">
        <v>237</v>
      </c>
      <c r="B185" s="142" t="s">
        <v>155</v>
      </c>
      <c r="C185" s="122" t="s">
        <v>30</v>
      </c>
      <c r="D185" s="148" t="s">
        <v>42</v>
      </c>
      <c r="E185" s="148" t="s">
        <v>149</v>
      </c>
      <c r="F185" s="124" t="n">
        <f aca="false">SUM(G185:S185)</f>
        <v>643146.411996448</v>
      </c>
      <c r="G185" s="124" t="n">
        <f aca="false">G192+G199+G206</f>
        <v>13891.94128</v>
      </c>
      <c r="H185" s="124" t="n">
        <f aca="false">H192+H199+H206</f>
        <v>61869.49996</v>
      </c>
      <c r="I185" s="125" t="n">
        <f aca="false">IFERROR(H185/G185,0)</f>
        <v>4.45362521428683</v>
      </c>
      <c r="J185" s="124" t="n">
        <f aca="false">J192+J199+J206</f>
        <v>121651.07983</v>
      </c>
      <c r="K185" s="125" t="n">
        <f aca="false">IFERROR(J185/H185,0)</f>
        <v>1.96625283715967</v>
      </c>
      <c r="L185" s="124" t="n">
        <f aca="false">L192+L199+L206</f>
        <v>116131.862</v>
      </c>
      <c r="M185" s="125" t="n">
        <f aca="false">IFERROR(L185/J185,0)</f>
        <v>0.954630753481903</v>
      </c>
      <c r="N185" s="124" t="n">
        <f aca="false">N192+N199+N206</f>
        <v>108041.33</v>
      </c>
      <c r="O185" s="125" t="n">
        <f aca="false">IFERROR(N185/L185,0)</f>
        <v>0.930333227585725</v>
      </c>
      <c r="P185" s="124" t="n">
        <f aca="false">P192+P199+P206</f>
        <v>108603.622</v>
      </c>
      <c r="Q185" s="125" t="n">
        <f aca="false">IFERROR(P185/N185,0)</f>
        <v>1.0052044157546</v>
      </c>
      <c r="R185" s="126" t="n">
        <f aca="false">R192+R199+R206</f>
        <v>112947.76688</v>
      </c>
      <c r="S185" s="127"/>
      <c r="T185" s="125" t="n">
        <f aca="false">IFERROR(R185/P185,0)</f>
        <v>1.04</v>
      </c>
      <c r="U185" s="129"/>
      <c r="V185" s="129"/>
      <c r="W185" s="129"/>
    </row>
    <row r="186" s="130" customFormat="true" ht="27.6" hidden="false" customHeight="false" outlineLevel="0" collapsed="false">
      <c r="A186" s="149"/>
      <c r="B186" s="142"/>
      <c r="C186" s="122" t="s">
        <v>31</v>
      </c>
      <c r="D186" s="132"/>
      <c r="E186" s="132"/>
      <c r="F186" s="126" t="n">
        <f aca="false">SUM(G186:S186)</f>
        <v>45039.060415677</v>
      </c>
      <c r="G186" s="126" t="n">
        <f aca="false">G193+G200+G207</f>
        <v>5622.3</v>
      </c>
      <c r="H186" s="126" t="n">
        <f aca="false">H193+H200+H207</f>
        <v>5205.3</v>
      </c>
      <c r="I186" s="125" t="n">
        <f aca="false">IFERROR(H186/G186,0)</f>
        <v>0.925831065578144</v>
      </c>
      <c r="J186" s="126" t="n">
        <f aca="false">J193+J200+J207</f>
        <v>7122.5</v>
      </c>
      <c r="K186" s="125" t="n">
        <f aca="false">IFERROR(J186/H186,0)</f>
        <v>1.36831690776708</v>
      </c>
      <c r="L186" s="126" t="n">
        <f aca="false">L193+L200+L207</f>
        <v>8771.7</v>
      </c>
      <c r="M186" s="125" t="n">
        <f aca="false">IFERROR(L186/J186,0)</f>
        <v>1.23154791154791</v>
      </c>
      <c r="N186" s="126" t="n">
        <f aca="false">N193+N200+N207</f>
        <v>6023.7</v>
      </c>
      <c r="O186" s="125" t="n">
        <f aca="false">IFERROR(N186/L186,0)</f>
        <v>0.686719792058552</v>
      </c>
      <c r="P186" s="126" t="n">
        <f aca="false">P193+P200+P207</f>
        <v>6023.7</v>
      </c>
      <c r="Q186" s="125" t="n">
        <f aca="false">IFERROR(P186/N186,0)</f>
        <v>1</v>
      </c>
      <c r="R186" s="126" t="n">
        <f aca="false">R193+R200+R207</f>
        <v>6264.648</v>
      </c>
      <c r="S186" s="127"/>
      <c r="T186" s="125" t="n">
        <f aca="false">IFERROR(R186/P186,0)</f>
        <v>1.04</v>
      </c>
      <c r="U186" s="129"/>
      <c r="V186" s="129"/>
      <c r="W186" s="129"/>
    </row>
    <row r="187" s="130" customFormat="true" ht="27.6" hidden="false" customHeight="false" outlineLevel="0" collapsed="false">
      <c r="A187" s="149"/>
      <c r="B187" s="142"/>
      <c r="C187" s="122" t="s">
        <v>32</v>
      </c>
      <c r="D187" s="132"/>
      <c r="E187" s="132"/>
      <c r="F187" s="126" t="n">
        <f aca="false">SUM(G187:S187)</f>
        <v>598115.020363651</v>
      </c>
      <c r="G187" s="126" t="n">
        <f aca="false">G194+G201+G208</f>
        <v>8269.64128</v>
      </c>
      <c r="H187" s="126" t="n">
        <f aca="false">H194+H201+H208</f>
        <v>56664.19996</v>
      </c>
      <c r="I187" s="125" t="n">
        <f aca="false">IFERROR(H187/G187,0)</f>
        <v>6.85207472022293</v>
      </c>
      <c r="J187" s="126" t="n">
        <f aca="false">J201</f>
        <v>114528.57983</v>
      </c>
      <c r="K187" s="125" t="n">
        <f aca="false">IFERROR(J187/H187,0)</f>
        <v>2.02118056746318</v>
      </c>
      <c r="L187" s="126" t="n">
        <f aca="false">L194+L201+L208</f>
        <v>107360.162</v>
      </c>
      <c r="M187" s="125" t="n">
        <f aca="false">IFERROR(L187/J187,0)</f>
        <v>0.937409353712057</v>
      </c>
      <c r="N187" s="126" t="n">
        <f aca="false">N194+N201+N208</f>
        <v>102017.63</v>
      </c>
      <c r="O187" s="125" t="n">
        <f aca="false">IFERROR(N187/L187,0)</f>
        <v>0.950237295655348</v>
      </c>
      <c r="P187" s="126" t="n">
        <f aca="false">P194+P201+P208</f>
        <v>102579.922</v>
      </c>
      <c r="Q187" s="125" t="n">
        <f aca="false">IFERROR(P187/N187,0)</f>
        <v>1.00551171400473</v>
      </c>
      <c r="R187" s="126" t="n">
        <f aca="false">R194+R201+R208</f>
        <v>106683.11888</v>
      </c>
      <c r="S187" s="127"/>
      <c r="T187" s="125" t="n">
        <f aca="false">IFERROR(R187/P187,0)</f>
        <v>1.04</v>
      </c>
      <c r="U187" s="129"/>
      <c r="V187" s="129"/>
      <c r="W187" s="129"/>
    </row>
    <row r="188" s="130" customFormat="true" ht="27.6" hidden="false" customHeight="false" outlineLevel="0" collapsed="false">
      <c r="A188" s="149"/>
      <c r="B188" s="142"/>
      <c r="C188" s="122" t="s">
        <v>33</v>
      </c>
      <c r="D188" s="132"/>
      <c r="E188" s="132"/>
      <c r="F188" s="126" t="n">
        <f aca="false">SUM(G188:S188)</f>
        <v>0</v>
      </c>
      <c r="G188" s="126" t="n">
        <f aca="false">G195+G202+G209</f>
        <v>0</v>
      </c>
      <c r="H188" s="126" t="n">
        <f aca="false">H195+H202+H209</f>
        <v>0</v>
      </c>
      <c r="I188" s="125"/>
      <c r="J188" s="126" t="n">
        <f aca="false">J195+J202+J209</f>
        <v>0</v>
      </c>
      <c r="K188" s="125"/>
      <c r="L188" s="126" t="n">
        <f aca="false">L195+L202+L209</f>
        <v>0</v>
      </c>
      <c r="M188" s="125"/>
      <c r="N188" s="126" t="n">
        <f aca="false">N195+N202+N209</f>
        <v>0</v>
      </c>
      <c r="O188" s="125"/>
      <c r="P188" s="126" t="n">
        <f aca="false">P195+P202+P209</f>
        <v>0</v>
      </c>
      <c r="Q188" s="125"/>
      <c r="R188" s="126" t="n">
        <f aca="false">P188*104/100</f>
        <v>0</v>
      </c>
      <c r="S188" s="127"/>
      <c r="T188" s="125"/>
      <c r="U188" s="129"/>
      <c r="V188" s="129"/>
      <c r="W188" s="129"/>
    </row>
    <row r="189" s="130" customFormat="true" ht="36" hidden="false" customHeight="true" outlineLevel="0" collapsed="false">
      <c r="A189" s="149"/>
      <c r="B189" s="142"/>
      <c r="C189" s="122" t="s">
        <v>34</v>
      </c>
      <c r="D189" s="132"/>
      <c r="E189" s="132"/>
      <c r="F189" s="126"/>
      <c r="G189" s="126"/>
      <c r="H189" s="126"/>
      <c r="I189" s="125"/>
      <c r="J189" s="126"/>
      <c r="K189" s="125"/>
      <c r="L189" s="126"/>
      <c r="M189" s="125"/>
      <c r="N189" s="126"/>
      <c r="O189" s="125"/>
      <c r="P189" s="126"/>
      <c r="Q189" s="125"/>
      <c r="R189" s="126" t="n">
        <f aca="false">P189*104/100</f>
        <v>0</v>
      </c>
      <c r="S189" s="127"/>
      <c r="T189" s="125"/>
      <c r="U189" s="129"/>
      <c r="V189" s="129"/>
      <c r="W189" s="129"/>
    </row>
    <row r="190" s="130" customFormat="true" ht="27.6" hidden="false" customHeight="false" outlineLevel="0" collapsed="false">
      <c r="A190" s="149"/>
      <c r="B190" s="142"/>
      <c r="C190" s="122" t="s">
        <v>35</v>
      </c>
      <c r="D190" s="132"/>
      <c r="E190" s="132"/>
      <c r="F190" s="126"/>
      <c r="G190" s="126"/>
      <c r="H190" s="126"/>
      <c r="I190" s="125"/>
      <c r="J190" s="126"/>
      <c r="K190" s="125"/>
      <c r="L190" s="126"/>
      <c r="M190" s="125"/>
      <c r="N190" s="126"/>
      <c r="O190" s="125"/>
      <c r="P190" s="126"/>
      <c r="Q190" s="125"/>
      <c r="R190" s="126" t="n">
        <f aca="false">P190*104/100</f>
        <v>0</v>
      </c>
      <c r="S190" s="127"/>
      <c r="T190" s="125"/>
      <c r="U190" s="129"/>
      <c r="V190" s="129"/>
      <c r="W190" s="129"/>
    </row>
    <row r="191" s="130" customFormat="true" ht="41.4" hidden="false" customHeight="false" outlineLevel="0" collapsed="false">
      <c r="A191" s="149"/>
      <c r="B191" s="142"/>
      <c r="C191" s="122" t="s">
        <v>36</v>
      </c>
      <c r="D191" s="132"/>
      <c r="E191" s="132"/>
      <c r="F191" s="126"/>
      <c r="G191" s="126"/>
      <c r="H191" s="126"/>
      <c r="I191" s="125"/>
      <c r="J191" s="126"/>
      <c r="K191" s="125"/>
      <c r="L191" s="126"/>
      <c r="M191" s="125"/>
      <c r="N191" s="126"/>
      <c r="O191" s="125"/>
      <c r="P191" s="126"/>
      <c r="Q191" s="125"/>
      <c r="R191" s="126" t="n">
        <f aca="false">P191*104/100</f>
        <v>0</v>
      </c>
      <c r="S191" s="127"/>
      <c r="T191" s="125"/>
      <c r="U191" s="129"/>
      <c r="V191" s="129"/>
      <c r="W191" s="129"/>
    </row>
    <row r="192" s="130" customFormat="true" ht="19.5" hidden="false" customHeight="true" outlineLevel="0" collapsed="false">
      <c r="A192" s="149" t="s">
        <v>238</v>
      </c>
      <c r="B192" s="142" t="s">
        <v>239</v>
      </c>
      <c r="C192" s="122" t="s">
        <v>30</v>
      </c>
      <c r="D192" s="132" t="s">
        <v>42</v>
      </c>
      <c r="E192" s="132" t="s">
        <v>149</v>
      </c>
      <c r="F192" s="126" t="n">
        <f aca="false">SUM(G192:S192)</f>
        <v>39688.9748024335</v>
      </c>
      <c r="G192" s="126" t="n">
        <f aca="false">SUM(G193:G198)</f>
        <v>5622.3</v>
      </c>
      <c r="H192" s="126" t="n">
        <f aca="false">SUM(H193:H198)</f>
        <v>5205.3</v>
      </c>
      <c r="I192" s="125" t="n">
        <f aca="false">IFERROR(H192/G192,0)</f>
        <v>0.925831065578144</v>
      </c>
      <c r="J192" s="126" t="n">
        <f aca="false">SUM(J193:J198)</f>
        <v>4520.5</v>
      </c>
      <c r="K192" s="125" t="n">
        <f aca="false">IFERROR(J192/H192,0)</f>
        <v>0.868441780492959</v>
      </c>
      <c r="L192" s="126" t="n">
        <f aca="false">SUM(L193:L198)</f>
        <v>6023.7</v>
      </c>
      <c r="M192" s="125" t="n">
        <f aca="false">IFERROR(L192/J192,0)</f>
        <v>1.33252958743502</v>
      </c>
      <c r="N192" s="126" t="n">
        <f aca="false">SUM(N193:N198)</f>
        <v>6023.7</v>
      </c>
      <c r="O192" s="125" t="n">
        <f aca="false">IFERROR(N192/L192,0)</f>
        <v>1</v>
      </c>
      <c r="P192" s="126" t="n">
        <f aca="false">SUM(P193:P198)</f>
        <v>6023.7</v>
      </c>
      <c r="Q192" s="125" t="n">
        <f aca="false">IFERROR(P192/N192,0)</f>
        <v>1</v>
      </c>
      <c r="R192" s="126" t="n">
        <f aca="false">SUM(R193:R198)</f>
        <v>6264.648</v>
      </c>
      <c r="S192" s="127"/>
      <c r="T192" s="125" t="n">
        <f aca="false">IFERROR(R192/P192,0)</f>
        <v>1.04</v>
      </c>
      <c r="U192" s="129"/>
      <c r="V192" s="129"/>
      <c r="W192" s="129"/>
    </row>
    <row r="193" s="130" customFormat="true" ht="31.95" hidden="false" customHeight="true" outlineLevel="0" collapsed="false">
      <c r="A193" s="149"/>
      <c r="B193" s="142"/>
      <c r="C193" s="122" t="s">
        <v>31</v>
      </c>
      <c r="D193" s="132"/>
      <c r="E193" s="132"/>
      <c r="F193" s="126" t="n">
        <f aca="false">SUM(G193:S193)</f>
        <v>39688.9748024335</v>
      </c>
      <c r="G193" s="126" t="n">
        <v>5622.3</v>
      </c>
      <c r="H193" s="126" t="n">
        <v>5205.3</v>
      </c>
      <c r="I193" s="125" t="n">
        <f aca="false">IFERROR(H193/G193,0)</f>
        <v>0.925831065578144</v>
      </c>
      <c r="J193" s="126" t="n">
        <v>4520.5</v>
      </c>
      <c r="K193" s="125" t="n">
        <f aca="false">IFERROR(J193/H193,0)</f>
        <v>0.868441780492959</v>
      </c>
      <c r="L193" s="126" t="n">
        <v>6023.7</v>
      </c>
      <c r="M193" s="125" t="n">
        <f aca="false">IFERROR(L193/J193,0)</f>
        <v>1.33252958743502</v>
      </c>
      <c r="N193" s="126" t="n">
        <v>6023.7</v>
      </c>
      <c r="O193" s="125" t="n">
        <f aca="false">IFERROR(N193/L193,0)</f>
        <v>1</v>
      </c>
      <c r="P193" s="126" t="n">
        <v>6023.7</v>
      </c>
      <c r="Q193" s="125" t="n">
        <f aca="false">IFERROR(P193/N193,0)</f>
        <v>1</v>
      </c>
      <c r="R193" s="126" t="n">
        <f aca="false">P193*104/100</f>
        <v>6264.648</v>
      </c>
      <c r="S193" s="127"/>
      <c r="T193" s="125" t="n">
        <f aca="false">IFERROR(R193/P193,0)</f>
        <v>1.04</v>
      </c>
      <c r="U193" s="129"/>
      <c r="V193" s="129"/>
      <c r="W193" s="129"/>
    </row>
    <row r="194" s="130" customFormat="true" ht="27.6" hidden="false" customHeight="false" outlineLevel="0" collapsed="false">
      <c r="A194" s="149"/>
      <c r="B194" s="142"/>
      <c r="C194" s="122" t="s">
        <v>32</v>
      </c>
      <c r="D194" s="132"/>
      <c r="E194" s="132"/>
      <c r="F194" s="126" t="n">
        <f aca="false">SUM(G194:S194)</f>
        <v>0</v>
      </c>
      <c r="G194" s="126"/>
      <c r="H194" s="126"/>
      <c r="I194" s="125"/>
      <c r="J194" s="152"/>
      <c r="K194" s="125"/>
      <c r="L194" s="126"/>
      <c r="M194" s="125"/>
      <c r="N194" s="126"/>
      <c r="O194" s="125"/>
      <c r="P194" s="126"/>
      <c r="Q194" s="125"/>
      <c r="R194" s="126" t="n">
        <f aca="false">P194*104/100</f>
        <v>0</v>
      </c>
      <c r="S194" s="127"/>
      <c r="T194" s="125"/>
      <c r="U194" s="129"/>
      <c r="V194" s="129"/>
      <c r="W194" s="129"/>
    </row>
    <row r="195" s="130" customFormat="true" ht="27.6" hidden="false" customHeight="false" outlineLevel="0" collapsed="false">
      <c r="A195" s="149"/>
      <c r="B195" s="142"/>
      <c r="C195" s="122" t="s">
        <v>33</v>
      </c>
      <c r="D195" s="132"/>
      <c r="E195" s="132"/>
      <c r="F195" s="126" t="n">
        <f aca="false">SUM(G195:S195)</f>
        <v>0</v>
      </c>
      <c r="G195" s="126"/>
      <c r="H195" s="126"/>
      <c r="I195" s="125"/>
      <c r="J195" s="126"/>
      <c r="K195" s="125"/>
      <c r="L195" s="126"/>
      <c r="M195" s="125"/>
      <c r="N195" s="126"/>
      <c r="O195" s="125"/>
      <c r="P195" s="126"/>
      <c r="Q195" s="125"/>
      <c r="R195" s="126" t="n">
        <f aca="false">P195*104/100</f>
        <v>0</v>
      </c>
      <c r="S195" s="127"/>
      <c r="T195" s="125"/>
      <c r="U195" s="129"/>
      <c r="V195" s="129"/>
      <c r="W195" s="129"/>
    </row>
    <row r="196" s="130" customFormat="true" ht="37.5" hidden="false" customHeight="true" outlineLevel="0" collapsed="false">
      <c r="A196" s="149"/>
      <c r="B196" s="142"/>
      <c r="C196" s="122" t="s">
        <v>34</v>
      </c>
      <c r="D196" s="132"/>
      <c r="E196" s="132"/>
      <c r="F196" s="126"/>
      <c r="G196" s="126"/>
      <c r="H196" s="126"/>
      <c r="I196" s="125"/>
      <c r="J196" s="126"/>
      <c r="K196" s="125"/>
      <c r="L196" s="126"/>
      <c r="M196" s="125"/>
      <c r="N196" s="126"/>
      <c r="O196" s="125"/>
      <c r="P196" s="126"/>
      <c r="Q196" s="125"/>
      <c r="R196" s="126" t="n">
        <f aca="false">P196*104/100</f>
        <v>0</v>
      </c>
      <c r="S196" s="127"/>
      <c r="T196" s="125"/>
      <c r="U196" s="129"/>
      <c r="V196" s="129"/>
      <c r="W196" s="129"/>
    </row>
    <row r="197" s="130" customFormat="true" ht="27.6" hidden="false" customHeight="false" outlineLevel="0" collapsed="false">
      <c r="A197" s="149"/>
      <c r="B197" s="142"/>
      <c r="C197" s="122" t="s">
        <v>35</v>
      </c>
      <c r="D197" s="132"/>
      <c r="E197" s="132"/>
      <c r="F197" s="126"/>
      <c r="G197" s="126"/>
      <c r="H197" s="126"/>
      <c r="I197" s="125"/>
      <c r="J197" s="126"/>
      <c r="K197" s="125"/>
      <c r="L197" s="126"/>
      <c r="M197" s="125"/>
      <c r="N197" s="126"/>
      <c r="O197" s="125"/>
      <c r="P197" s="126"/>
      <c r="Q197" s="125"/>
      <c r="R197" s="126" t="n">
        <f aca="false">P197*104/100</f>
        <v>0</v>
      </c>
      <c r="S197" s="127"/>
      <c r="T197" s="125"/>
      <c r="U197" s="129"/>
      <c r="V197" s="129"/>
      <c r="W197" s="129"/>
    </row>
    <row r="198" s="130" customFormat="true" ht="41.4" hidden="false" customHeight="false" outlineLevel="0" collapsed="false">
      <c r="A198" s="149"/>
      <c r="B198" s="142"/>
      <c r="C198" s="122" t="s">
        <v>36</v>
      </c>
      <c r="D198" s="132"/>
      <c r="E198" s="132"/>
      <c r="F198" s="126"/>
      <c r="G198" s="126"/>
      <c r="H198" s="126"/>
      <c r="I198" s="125"/>
      <c r="J198" s="126"/>
      <c r="K198" s="125"/>
      <c r="L198" s="126"/>
      <c r="M198" s="125"/>
      <c r="N198" s="126"/>
      <c r="O198" s="125"/>
      <c r="P198" s="126"/>
      <c r="Q198" s="125"/>
      <c r="R198" s="126" t="n">
        <f aca="false">P198*104/100</f>
        <v>0</v>
      </c>
      <c r="S198" s="127"/>
      <c r="T198" s="125"/>
      <c r="U198" s="129"/>
      <c r="V198" s="129"/>
      <c r="W198" s="129"/>
    </row>
    <row r="199" s="130" customFormat="true" ht="16.5" hidden="false" customHeight="true" outlineLevel="0" collapsed="false">
      <c r="A199" s="149" t="s">
        <v>240</v>
      </c>
      <c r="B199" s="142" t="s">
        <v>159</v>
      </c>
      <c r="C199" s="122" t="s">
        <v>30</v>
      </c>
      <c r="D199" s="132" t="s">
        <v>42</v>
      </c>
      <c r="E199" s="132" t="s">
        <v>149</v>
      </c>
      <c r="F199" s="126" t="n">
        <f aca="false">SUM(G199:S199)</f>
        <v>594071.284247684</v>
      </c>
      <c r="G199" s="126" t="n">
        <f aca="false">SUM(G200:G205)</f>
        <v>1458.28128</v>
      </c>
      <c r="H199" s="126" t="n">
        <f aca="false">SUM(H200:H205)</f>
        <v>54051.48596</v>
      </c>
      <c r="I199" s="125" t="n">
        <f aca="false">IFERROR(H199/G199,0)</f>
        <v>37.0651990814831</v>
      </c>
      <c r="J199" s="126" t="n">
        <f aca="false">SUM(J200:J205)</f>
        <v>117130.57983</v>
      </c>
      <c r="K199" s="125" t="n">
        <f aca="false">IFERROR(J199/H199,0)</f>
        <v>2.16701868134913</v>
      </c>
      <c r="L199" s="126" t="n">
        <f aca="false">SUM(L200:L205)</f>
        <v>110108.162</v>
      </c>
      <c r="M199" s="125" t="n">
        <f aca="false">IFERROR(L199/J199,0)</f>
        <v>0.940046247186754</v>
      </c>
      <c r="N199" s="126" t="n">
        <f aca="false">SUM(N200:N205)</f>
        <v>102017.63</v>
      </c>
      <c r="O199" s="125" t="n">
        <f aca="false">IFERROR(N199/L199,0)</f>
        <v>0.926521959380268</v>
      </c>
      <c r="P199" s="126" t="n">
        <f aca="false">SUM(P200:P205)</f>
        <v>102579.922</v>
      </c>
      <c r="Q199" s="125" t="n">
        <f aca="false">IFERROR(P199/N199,0)</f>
        <v>1.00551171400473</v>
      </c>
      <c r="R199" s="126" t="n">
        <f aca="false">SUM(R200:R205)</f>
        <v>106683.11888</v>
      </c>
      <c r="S199" s="127" t="n">
        <f aca="false">SUM(S200:S205)</f>
        <v>0</v>
      </c>
      <c r="T199" s="125" t="n">
        <f aca="false">IFERROR(R199/P199,0)</f>
        <v>1.04</v>
      </c>
      <c r="U199" s="129"/>
      <c r="V199" s="129"/>
      <c r="W199" s="129"/>
    </row>
    <row r="200" s="130" customFormat="true" ht="36" hidden="false" customHeight="true" outlineLevel="0" collapsed="false">
      <c r="A200" s="149"/>
      <c r="B200" s="142"/>
      <c r="C200" s="122" t="s">
        <v>31</v>
      </c>
      <c r="D200" s="132"/>
      <c r="E200" s="132"/>
      <c r="F200" s="126" t="n">
        <f aca="false">SUM(G200:S200)</f>
        <v>5351.05611068409</v>
      </c>
      <c r="G200" s="126"/>
      <c r="H200" s="126"/>
      <c r="I200" s="125"/>
      <c r="J200" s="126" t="n">
        <v>2602</v>
      </c>
      <c r="K200" s="125"/>
      <c r="L200" s="126" t="n">
        <v>2748</v>
      </c>
      <c r="M200" s="125" t="n">
        <f aca="false">IFERROR(L200/J200,0)</f>
        <v>1.05611068408916</v>
      </c>
      <c r="N200" s="126"/>
      <c r="O200" s="125"/>
      <c r="P200" s="126"/>
      <c r="Q200" s="125"/>
      <c r="R200" s="126"/>
      <c r="S200" s="127"/>
      <c r="T200" s="125"/>
      <c r="U200" s="129"/>
      <c r="V200" s="129"/>
      <c r="W200" s="129"/>
    </row>
    <row r="201" s="130" customFormat="true" ht="27.6" hidden="false" customHeight="false" outlineLevel="0" collapsed="false">
      <c r="A201" s="149"/>
      <c r="B201" s="142"/>
      <c r="C201" s="122" t="s">
        <v>32</v>
      </c>
      <c r="D201" s="132"/>
      <c r="E201" s="132"/>
      <c r="F201" s="126" t="n">
        <f aca="false">SUM(G201:S201)</f>
        <v>588721.257186839</v>
      </c>
      <c r="G201" s="126" t="n">
        <v>1458.28128</v>
      </c>
      <c r="H201" s="126" t="n">
        <v>54051.48596</v>
      </c>
      <c r="I201" s="125" t="n">
        <f aca="false">IFERROR(H201/G201,0)</f>
        <v>37.0651990814831</v>
      </c>
      <c r="J201" s="126" t="n">
        <v>114528.57983</v>
      </c>
      <c r="K201" s="125" t="n">
        <f aca="false">IFERROR(J201/H201,0)</f>
        <v>2.11887939426411</v>
      </c>
      <c r="L201" s="126" t="n">
        <v>107360.162</v>
      </c>
      <c r="M201" s="125" t="n">
        <f aca="false">IFERROR(L201/J201,0)</f>
        <v>0.937409353712057</v>
      </c>
      <c r="N201" s="126" t="n">
        <v>102017.63</v>
      </c>
      <c r="O201" s="125" t="n">
        <f aca="false">IFERROR(N201/L201,0)</f>
        <v>0.950237295655348</v>
      </c>
      <c r="P201" s="126" t="n">
        <v>102579.922</v>
      </c>
      <c r="Q201" s="125" t="n">
        <f aca="false">IFERROR(P201/N201,0)</f>
        <v>1.00551171400473</v>
      </c>
      <c r="R201" s="126" t="n">
        <f aca="false">P201*104/100</f>
        <v>106683.11888</v>
      </c>
      <c r="S201" s="127"/>
      <c r="T201" s="125" t="n">
        <f aca="false">IFERROR(R201/P201,0)</f>
        <v>1.04</v>
      </c>
      <c r="U201" s="129"/>
      <c r="V201" s="129"/>
      <c r="W201" s="129"/>
    </row>
    <row r="202" s="130" customFormat="true" ht="27.6" hidden="false" customHeight="false" outlineLevel="0" collapsed="false">
      <c r="A202" s="149"/>
      <c r="B202" s="142"/>
      <c r="C202" s="122" t="s">
        <v>33</v>
      </c>
      <c r="D202" s="132"/>
      <c r="E202" s="132"/>
      <c r="F202" s="126" t="n">
        <f aca="false">SUM(G202:S202)</f>
        <v>0</v>
      </c>
      <c r="G202" s="126"/>
      <c r="H202" s="126"/>
      <c r="I202" s="125"/>
      <c r="J202" s="126"/>
      <c r="K202" s="125"/>
      <c r="L202" s="126"/>
      <c r="M202" s="125"/>
      <c r="N202" s="126"/>
      <c r="O202" s="125"/>
      <c r="P202" s="126"/>
      <c r="Q202" s="125"/>
      <c r="R202" s="126" t="n">
        <f aca="false">P202*104/100</f>
        <v>0</v>
      </c>
      <c r="S202" s="127"/>
      <c r="T202" s="125"/>
      <c r="U202" s="129"/>
      <c r="V202" s="129"/>
      <c r="W202" s="129"/>
    </row>
    <row r="203" s="130" customFormat="true" ht="27.6" hidden="false" customHeight="false" outlineLevel="0" collapsed="false">
      <c r="A203" s="149"/>
      <c r="B203" s="142"/>
      <c r="C203" s="122" t="s">
        <v>34</v>
      </c>
      <c r="D203" s="132"/>
      <c r="E203" s="132"/>
      <c r="F203" s="126"/>
      <c r="G203" s="126"/>
      <c r="H203" s="126"/>
      <c r="I203" s="125"/>
      <c r="J203" s="126"/>
      <c r="K203" s="125"/>
      <c r="L203" s="126"/>
      <c r="M203" s="125"/>
      <c r="N203" s="126"/>
      <c r="O203" s="125"/>
      <c r="P203" s="126"/>
      <c r="Q203" s="125"/>
      <c r="R203" s="126" t="n">
        <f aca="false">P203*104/100</f>
        <v>0</v>
      </c>
      <c r="S203" s="127"/>
      <c r="T203" s="125"/>
      <c r="U203" s="129"/>
      <c r="V203" s="129"/>
      <c r="W203" s="129"/>
    </row>
    <row r="204" s="130" customFormat="true" ht="27.6" hidden="false" customHeight="false" outlineLevel="0" collapsed="false">
      <c r="A204" s="149"/>
      <c r="B204" s="142"/>
      <c r="C204" s="122" t="s">
        <v>35</v>
      </c>
      <c r="D204" s="132"/>
      <c r="E204" s="132"/>
      <c r="F204" s="126"/>
      <c r="G204" s="126"/>
      <c r="H204" s="126"/>
      <c r="I204" s="125"/>
      <c r="J204" s="126"/>
      <c r="K204" s="125"/>
      <c r="L204" s="126"/>
      <c r="M204" s="125"/>
      <c r="N204" s="126"/>
      <c r="O204" s="125"/>
      <c r="P204" s="126"/>
      <c r="Q204" s="125"/>
      <c r="R204" s="126" t="n">
        <f aca="false">P204*104/100</f>
        <v>0</v>
      </c>
      <c r="S204" s="127"/>
      <c r="T204" s="125"/>
      <c r="U204" s="129"/>
      <c r="V204" s="129"/>
      <c r="W204" s="129"/>
    </row>
    <row r="205" s="130" customFormat="true" ht="41.4" hidden="false" customHeight="false" outlineLevel="0" collapsed="false">
      <c r="A205" s="149"/>
      <c r="B205" s="142"/>
      <c r="C205" s="122" t="s">
        <v>36</v>
      </c>
      <c r="D205" s="132"/>
      <c r="E205" s="132"/>
      <c r="F205" s="126"/>
      <c r="G205" s="126"/>
      <c r="H205" s="126"/>
      <c r="I205" s="125"/>
      <c r="J205" s="126"/>
      <c r="K205" s="125"/>
      <c r="L205" s="126"/>
      <c r="M205" s="125"/>
      <c r="N205" s="126"/>
      <c r="O205" s="125"/>
      <c r="P205" s="126"/>
      <c r="Q205" s="125"/>
      <c r="R205" s="126" t="n">
        <f aca="false">P205*104/100</f>
        <v>0</v>
      </c>
      <c r="S205" s="127"/>
      <c r="T205" s="125"/>
      <c r="U205" s="129"/>
      <c r="V205" s="129"/>
      <c r="W205" s="129"/>
    </row>
    <row r="206" s="130" customFormat="true" ht="27" hidden="false" customHeight="true" outlineLevel="0" collapsed="false">
      <c r="A206" s="149" t="s">
        <v>241</v>
      </c>
      <c r="B206" s="142" t="s">
        <v>161</v>
      </c>
      <c r="C206" s="122" t="s">
        <v>30</v>
      </c>
      <c r="D206" s="132" t="s">
        <v>42</v>
      </c>
      <c r="E206" s="132" t="s">
        <v>149</v>
      </c>
      <c r="F206" s="126" t="n">
        <f aca="false">SUM(G206:S206)</f>
        <v>9424.45758183975</v>
      </c>
      <c r="G206" s="126" t="n">
        <f aca="false">SUM(G207:G212)</f>
        <v>6811.36</v>
      </c>
      <c r="H206" s="126" t="n">
        <f aca="false">SUM(H207:H212)</f>
        <v>2612.714</v>
      </c>
      <c r="I206" s="125" t="n">
        <f aca="false">IFERROR(H206/G206,0)</f>
        <v>0.383581839750065</v>
      </c>
      <c r="J206" s="126" t="n">
        <f aca="false">SUM(J207:J212)</f>
        <v>0</v>
      </c>
      <c r="K206" s="125"/>
      <c r="L206" s="126" t="n">
        <f aca="false">SUM(L207:L212)</f>
        <v>0</v>
      </c>
      <c r="M206" s="125"/>
      <c r="N206" s="126" t="n">
        <f aca="false">SUM(N207:N212)</f>
        <v>0</v>
      </c>
      <c r="O206" s="125"/>
      <c r="P206" s="126" t="n">
        <f aca="false">SUM(P207:P212)</f>
        <v>0</v>
      </c>
      <c r="Q206" s="125"/>
      <c r="R206" s="126" t="n">
        <f aca="false">SUM(R207:R212)</f>
        <v>0</v>
      </c>
      <c r="S206" s="127"/>
      <c r="T206" s="125"/>
      <c r="U206" s="129"/>
      <c r="V206" s="129"/>
      <c r="W206" s="129"/>
    </row>
    <row r="207" s="130" customFormat="true" ht="27.6" hidden="false" customHeight="false" outlineLevel="0" collapsed="false">
      <c r="A207" s="149"/>
      <c r="B207" s="142"/>
      <c r="C207" s="122" t="s">
        <v>31</v>
      </c>
      <c r="D207" s="132"/>
      <c r="E207" s="132"/>
      <c r="F207" s="126" t="n">
        <v>0</v>
      </c>
      <c r="G207" s="126" t="n">
        <v>0</v>
      </c>
      <c r="H207" s="126" t="n">
        <v>0</v>
      </c>
      <c r="I207" s="125"/>
      <c r="J207" s="126" t="n">
        <v>0</v>
      </c>
      <c r="K207" s="125"/>
      <c r="L207" s="126"/>
      <c r="M207" s="125"/>
      <c r="N207" s="126"/>
      <c r="O207" s="125"/>
      <c r="P207" s="126"/>
      <c r="Q207" s="125"/>
      <c r="R207" s="126" t="n">
        <f aca="false">P207*104/100</f>
        <v>0</v>
      </c>
      <c r="S207" s="127"/>
      <c r="T207" s="125"/>
      <c r="U207" s="129"/>
      <c r="V207" s="129"/>
      <c r="W207" s="129"/>
    </row>
    <row r="208" s="130" customFormat="true" ht="27.6" hidden="false" customHeight="false" outlineLevel="0" collapsed="false">
      <c r="A208" s="149"/>
      <c r="B208" s="142"/>
      <c r="C208" s="122" t="s">
        <v>32</v>
      </c>
      <c r="D208" s="132"/>
      <c r="E208" s="132"/>
      <c r="F208" s="126" t="n">
        <f aca="false">SUM(G208:S208)</f>
        <v>9424.45758183975</v>
      </c>
      <c r="G208" s="126" t="n">
        <v>6811.36</v>
      </c>
      <c r="H208" s="126" t="n">
        <v>2612.714</v>
      </c>
      <c r="I208" s="125" t="n">
        <f aca="false">IFERROR(H208/G208,0)</f>
        <v>0.383581839750065</v>
      </c>
      <c r="J208" s="126"/>
      <c r="K208" s="125"/>
      <c r="L208" s="126"/>
      <c r="M208" s="125"/>
      <c r="N208" s="126"/>
      <c r="O208" s="125"/>
      <c r="P208" s="126"/>
      <c r="Q208" s="125"/>
      <c r="R208" s="126" t="n">
        <f aca="false">P208*104/100</f>
        <v>0</v>
      </c>
      <c r="S208" s="127"/>
      <c r="T208" s="125"/>
      <c r="U208" s="135"/>
      <c r="V208" s="129"/>
      <c r="W208" s="129"/>
    </row>
    <row r="209" s="130" customFormat="true" ht="27.6" hidden="false" customHeight="false" outlineLevel="0" collapsed="false">
      <c r="A209" s="149"/>
      <c r="B209" s="142"/>
      <c r="C209" s="122" t="s">
        <v>33</v>
      </c>
      <c r="D209" s="132"/>
      <c r="E209" s="132"/>
      <c r="F209" s="126"/>
      <c r="G209" s="126"/>
      <c r="H209" s="126"/>
      <c r="I209" s="125"/>
      <c r="J209" s="126"/>
      <c r="K209" s="125"/>
      <c r="L209" s="126"/>
      <c r="M209" s="125"/>
      <c r="N209" s="126"/>
      <c r="O209" s="125"/>
      <c r="P209" s="126"/>
      <c r="Q209" s="125"/>
      <c r="R209" s="126" t="n">
        <f aca="false">P209*104/100</f>
        <v>0</v>
      </c>
      <c r="S209" s="127"/>
      <c r="T209" s="125"/>
      <c r="U209" s="129"/>
      <c r="V209" s="129"/>
      <c r="W209" s="129"/>
    </row>
    <row r="210" s="130" customFormat="true" ht="31.95" hidden="false" customHeight="true" outlineLevel="0" collapsed="false">
      <c r="A210" s="149"/>
      <c r="B210" s="142"/>
      <c r="C210" s="122" t="s">
        <v>34</v>
      </c>
      <c r="D210" s="132"/>
      <c r="E210" s="132"/>
      <c r="F210" s="126"/>
      <c r="G210" s="126"/>
      <c r="H210" s="126"/>
      <c r="I210" s="125"/>
      <c r="J210" s="126"/>
      <c r="K210" s="125"/>
      <c r="L210" s="126"/>
      <c r="M210" s="125"/>
      <c r="N210" s="126"/>
      <c r="O210" s="125"/>
      <c r="P210" s="126"/>
      <c r="Q210" s="125"/>
      <c r="R210" s="126" t="n">
        <f aca="false">P210*104/100</f>
        <v>0</v>
      </c>
      <c r="S210" s="127"/>
      <c r="T210" s="125"/>
      <c r="U210" s="129"/>
      <c r="V210" s="129"/>
      <c r="W210" s="129"/>
    </row>
    <row r="211" s="130" customFormat="true" ht="27.6" hidden="false" customHeight="false" outlineLevel="0" collapsed="false">
      <c r="A211" s="149"/>
      <c r="B211" s="142"/>
      <c r="C211" s="122" t="s">
        <v>35</v>
      </c>
      <c r="D211" s="132"/>
      <c r="E211" s="132"/>
      <c r="F211" s="126"/>
      <c r="G211" s="126"/>
      <c r="H211" s="126"/>
      <c r="I211" s="125"/>
      <c r="J211" s="126"/>
      <c r="K211" s="125"/>
      <c r="L211" s="126"/>
      <c r="M211" s="125"/>
      <c r="N211" s="126"/>
      <c r="O211" s="125"/>
      <c r="P211" s="126"/>
      <c r="Q211" s="125"/>
      <c r="R211" s="126" t="n">
        <f aca="false">P211*104/100</f>
        <v>0</v>
      </c>
      <c r="S211" s="127"/>
      <c r="T211" s="125"/>
      <c r="U211" s="129"/>
      <c r="V211" s="129"/>
      <c r="W211" s="129"/>
    </row>
    <row r="212" s="130" customFormat="true" ht="31.95" hidden="false" customHeight="true" outlineLevel="0" collapsed="false">
      <c r="A212" s="149"/>
      <c r="B212" s="142"/>
      <c r="C212" s="122" t="s">
        <v>36</v>
      </c>
      <c r="D212" s="132"/>
      <c r="E212" s="132"/>
      <c r="F212" s="126"/>
      <c r="G212" s="126"/>
      <c r="H212" s="126"/>
      <c r="I212" s="125"/>
      <c r="J212" s="126"/>
      <c r="K212" s="125"/>
      <c r="L212" s="126"/>
      <c r="M212" s="125"/>
      <c r="N212" s="126"/>
      <c r="O212" s="125"/>
      <c r="P212" s="126"/>
      <c r="Q212" s="125"/>
      <c r="R212" s="126" t="n">
        <f aca="false">P212*104/100</f>
        <v>0</v>
      </c>
      <c r="S212" s="127"/>
      <c r="T212" s="125"/>
      <c r="U212" s="129"/>
      <c r="V212" s="129"/>
      <c r="W212" s="129"/>
    </row>
    <row r="213" s="130" customFormat="true" ht="15.6" hidden="true" customHeight="false" outlineLevel="0" collapsed="false">
      <c r="A213" s="149"/>
      <c r="B213" s="142"/>
      <c r="C213" s="122"/>
      <c r="D213" s="132"/>
      <c r="E213" s="132"/>
      <c r="F213" s="126"/>
      <c r="G213" s="126"/>
      <c r="H213" s="126"/>
      <c r="I213" s="125" t="n">
        <f aca="false">IFERROR(H213/G213,0)</f>
        <v>0</v>
      </c>
      <c r="J213" s="126"/>
      <c r="K213" s="125" t="n">
        <f aca="false">IFERROR(J213/H213,0)</f>
        <v>0</v>
      </c>
      <c r="L213" s="126"/>
      <c r="M213" s="125" t="n">
        <f aca="false">IFERROR(L213/J213,0)</f>
        <v>0</v>
      </c>
      <c r="N213" s="126"/>
      <c r="O213" s="125" t="n">
        <f aca="false">IFERROR(N213/L213,0)</f>
        <v>0</v>
      </c>
      <c r="P213" s="126"/>
      <c r="Q213" s="125" t="n">
        <f aca="false">IFERROR(P213/N213,0)</f>
        <v>0</v>
      </c>
      <c r="R213" s="126" t="n">
        <f aca="false">P213*104/100</f>
        <v>0</v>
      </c>
      <c r="S213" s="127"/>
      <c r="T213" s="125" t="n">
        <f aca="false">IFERROR(R213/P213,0)</f>
        <v>0</v>
      </c>
      <c r="U213" s="129"/>
      <c r="V213" s="129"/>
      <c r="W213" s="129"/>
    </row>
    <row r="214" s="130" customFormat="true" ht="26.7" hidden="false" customHeight="true" outlineLevel="0" collapsed="false">
      <c r="A214" s="149" t="s">
        <v>242</v>
      </c>
      <c r="B214" s="142" t="s">
        <v>169</v>
      </c>
      <c r="C214" s="122" t="s">
        <v>30</v>
      </c>
      <c r="D214" s="148" t="s">
        <v>42</v>
      </c>
      <c r="E214" s="148" t="s">
        <v>153</v>
      </c>
      <c r="F214" s="124" t="n">
        <f aca="false">SUM(G214:R214)</f>
        <v>6829.82047933057</v>
      </c>
      <c r="G214" s="124" t="n">
        <f aca="false">G221+G228</f>
        <v>948.4</v>
      </c>
      <c r="H214" s="124" t="n">
        <f aca="false">H221+H228</f>
        <v>1000</v>
      </c>
      <c r="I214" s="125" t="n">
        <f aca="false">IFERROR(H214/G214,0)</f>
        <v>1.05440742302826</v>
      </c>
      <c r="J214" s="124" t="n">
        <f aca="false">J221+J228</f>
        <v>1000</v>
      </c>
      <c r="K214" s="125" t="n">
        <f aca="false">IFERROR(J214/H214,0)</f>
        <v>1</v>
      </c>
      <c r="L214" s="124" t="n">
        <f aca="false">L221+L228</f>
        <v>1063</v>
      </c>
      <c r="M214" s="125" t="n">
        <f aca="false">IFERROR(L214/J214,0)</f>
        <v>1.063</v>
      </c>
      <c r="N214" s="124" t="n">
        <f aca="false">N221+N228</f>
        <v>924.8</v>
      </c>
      <c r="O214" s="125" t="n">
        <f aca="false">IFERROR(N214/L214,0)</f>
        <v>0.869990592662277</v>
      </c>
      <c r="P214" s="124" t="n">
        <f aca="false">P221+P228</f>
        <v>925.8</v>
      </c>
      <c r="Q214" s="125" t="n">
        <f aca="false">IFERROR(P214/N214,0)</f>
        <v>1.00108131487889</v>
      </c>
      <c r="R214" s="126" t="n">
        <f aca="false">R221+R228</f>
        <v>962.832</v>
      </c>
      <c r="S214" s="127"/>
      <c r="T214" s="125" t="n">
        <f aca="false">IFERROR(R214/P214,0)</f>
        <v>1.04</v>
      </c>
      <c r="U214" s="129"/>
      <c r="V214" s="129"/>
      <c r="W214" s="129"/>
    </row>
    <row r="215" s="130" customFormat="true" ht="37.5" hidden="false" customHeight="true" outlineLevel="0" collapsed="false">
      <c r="A215" s="149"/>
      <c r="B215" s="142"/>
      <c r="C215" s="122" t="s">
        <v>31</v>
      </c>
      <c r="D215" s="132"/>
      <c r="E215" s="132"/>
      <c r="F215" s="126" t="n">
        <f aca="false">SUM(G215:S215)</f>
        <v>0</v>
      </c>
      <c r="G215" s="126" t="n">
        <v>0</v>
      </c>
      <c r="H215" s="126" t="n">
        <v>0</v>
      </c>
      <c r="I215" s="125"/>
      <c r="J215" s="126" t="n">
        <v>0</v>
      </c>
      <c r="K215" s="125"/>
      <c r="L215" s="126"/>
      <c r="M215" s="125"/>
      <c r="N215" s="126"/>
      <c r="O215" s="125"/>
      <c r="P215" s="126"/>
      <c r="Q215" s="125"/>
      <c r="R215" s="126" t="n">
        <f aca="false">P215*104/100</f>
        <v>0</v>
      </c>
      <c r="S215" s="127"/>
      <c r="T215" s="125"/>
      <c r="U215" s="129"/>
      <c r="V215" s="129"/>
      <c r="W215" s="129"/>
    </row>
    <row r="216" s="130" customFormat="true" ht="17.7" hidden="false" customHeight="true" outlineLevel="0" collapsed="false">
      <c r="A216" s="149"/>
      <c r="B216" s="142"/>
      <c r="C216" s="122" t="s">
        <v>32</v>
      </c>
      <c r="D216" s="132" t="s">
        <v>42</v>
      </c>
      <c r="E216" s="132" t="s">
        <v>153</v>
      </c>
      <c r="F216" s="126" t="n">
        <f aca="false">SUM(G216:R216)</f>
        <v>6829.82047933057</v>
      </c>
      <c r="G216" s="126" t="n">
        <f aca="false">G223+G230</f>
        <v>948.4</v>
      </c>
      <c r="H216" s="126" t="n">
        <f aca="false">H223+H230</f>
        <v>1000</v>
      </c>
      <c r="I216" s="125" t="n">
        <f aca="false">IFERROR(H216/G216,0)</f>
        <v>1.05440742302826</v>
      </c>
      <c r="J216" s="126" t="n">
        <f aca="false">J223+J230</f>
        <v>1000</v>
      </c>
      <c r="K216" s="125" t="n">
        <f aca="false">IFERROR(J216/H216,0)</f>
        <v>1</v>
      </c>
      <c r="L216" s="126" t="n">
        <f aca="false">L223+L230</f>
        <v>1063</v>
      </c>
      <c r="M216" s="125" t="n">
        <f aca="false">IFERROR(L216/J216,0)</f>
        <v>1.063</v>
      </c>
      <c r="N216" s="126" t="n">
        <f aca="false">N223+N230</f>
        <v>924.8</v>
      </c>
      <c r="O216" s="125" t="n">
        <f aca="false">IFERROR(N216/L216,0)</f>
        <v>0.869990592662277</v>
      </c>
      <c r="P216" s="126" t="n">
        <f aca="false">P223+P230</f>
        <v>925.8</v>
      </c>
      <c r="Q216" s="125" t="n">
        <f aca="false">IFERROR(P216/N216,0)</f>
        <v>1.00108131487889</v>
      </c>
      <c r="R216" s="126" t="n">
        <f aca="false">R223+R230</f>
        <v>962.832</v>
      </c>
      <c r="S216" s="127"/>
      <c r="T216" s="125" t="n">
        <f aca="false">IFERROR(R216/P216,0)</f>
        <v>1.04</v>
      </c>
      <c r="U216" s="129"/>
      <c r="V216" s="129"/>
      <c r="W216" s="129"/>
    </row>
    <row r="217" s="130" customFormat="true" ht="18.75" hidden="false" customHeight="true" outlineLevel="0" collapsed="false">
      <c r="A217" s="149"/>
      <c r="B217" s="142"/>
      <c r="C217" s="122" t="s">
        <v>33</v>
      </c>
      <c r="D217" s="132"/>
      <c r="E217" s="132"/>
      <c r="F217" s="126" t="n">
        <f aca="false">SUM(G217:J217)</f>
        <v>0</v>
      </c>
      <c r="G217" s="126" t="n">
        <f aca="false">G224+G231</f>
        <v>0</v>
      </c>
      <c r="H217" s="126" t="n">
        <f aca="false">H224+H231</f>
        <v>0</v>
      </c>
      <c r="I217" s="125"/>
      <c r="J217" s="126" t="n">
        <f aca="false">J224+J231</f>
        <v>0</v>
      </c>
      <c r="K217" s="125"/>
      <c r="L217" s="126" t="n">
        <f aca="false">L224+L231</f>
        <v>0</v>
      </c>
      <c r="M217" s="125"/>
      <c r="N217" s="126" t="n">
        <f aca="false">N224+N231</f>
        <v>0</v>
      </c>
      <c r="O217" s="125"/>
      <c r="P217" s="126" t="n">
        <f aca="false">P224+P231</f>
        <v>0</v>
      </c>
      <c r="Q217" s="125"/>
      <c r="R217" s="126" t="n">
        <f aca="false">P217*104/100</f>
        <v>0</v>
      </c>
      <c r="S217" s="127"/>
      <c r="T217" s="125"/>
      <c r="U217" s="129"/>
      <c r="V217" s="129"/>
      <c r="W217" s="129"/>
    </row>
    <row r="218" s="130" customFormat="true" ht="30.75" hidden="false" customHeight="true" outlineLevel="0" collapsed="false">
      <c r="A218" s="149"/>
      <c r="B218" s="142"/>
      <c r="C218" s="122" t="s">
        <v>34</v>
      </c>
      <c r="D218" s="132"/>
      <c r="E218" s="132"/>
      <c r="F218" s="126"/>
      <c r="G218" s="126"/>
      <c r="H218" s="126"/>
      <c r="I218" s="125"/>
      <c r="J218" s="126"/>
      <c r="K218" s="125"/>
      <c r="L218" s="126"/>
      <c r="M218" s="125"/>
      <c r="N218" s="126"/>
      <c r="O218" s="125"/>
      <c r="P218" s="126"/>
      <c r="Q218" s="125"/>
      <c r="R218" s="126" t="n">
        <f aca="false">P218*104/100</f>
        <v>0</v>
      </c>
      <c r="S218" s="127"/>
      <c r="T218" s="125"/>
      <c r="U218" s="129"/>
      <c r="V218" s="129"/>
      <c r="W218" s="129"/>
    </row>
    <row r="219" s="130" customFormat="true" ht="27.6" hidden="false" customHeight="false" outlineLevel="0" collapsed="false">
      <c r="A219" s="149"/>
      <c r="B219" s="142"/>
      <c r="C219" s="122" t="s">
        <v>35</v>
      </c>
      <c r="D219" s="132"/>
      <c r="E219" s="132"/>
      <c r="F219" s="126"/>
      <c r="G219" s="126"/>
      <c r="H219" s="126"/>
      <c r="I219" s="125"/>
      <c r="J219" s="126"/>
      <c r="K219" s="125"/>
      <c r="L219" s="126"/>
      <c r="M219" s="125"/>
      <c r="N219" s="126"/>
      <c r="O219" s="125"/>
      <c r="P219" s="126"/>
      <c r="Q219" s="125"/>
      <c r="R219" s="126" t="n">
        <f aca="false">P219*104/100</f>
        <v>0</v>
      </c>
      <c r="S219" s="127"/>
      <c r="T219" s="125"/>
      <c r="U219" s="129"/>
      <c r="V219" s="129"/>
      <c r="W219" s="129"/>
    </row>
    <row r="220" s="130" customFormat="true" ht="41.4" hidden="false" customHeight="false" outlineLevel="0" collapsed="false">
      <c r="A220" s="149"/>
      <c r="B220" s="142"/>
      <c r="C220" s="122" t="s">
        <v>36</v>
      </c>
      <c r="D220" s="132"/>
      <c r="E220" s="132"/>
      <c r="F220" s="126"/>
      <c r="G220" s="126"/>
      <c r="H220" s="126"/>
      <c r="I220" s="125"/>
      <c r="J220" s="126"/>
      <c r="K220" s="125"/>
      <c r="L220" s="126"/>
      <c r="M220" s="125"/>
      <c r="N220" s="126"/>
      <c r="O220" s="125"/>
      <c r="P220" s="126"/>
      <c r="Q220" s="125"/>
      <c r="R220" s="126" t="n">
        <f aca="false">P220*104/100</f>
        <v>0</v>
      </c>
      <c r="S220" s="127"/>
      <c r="T220" s="125"/>
      <c r="U220" s="129"/>
      <c r="V220" s="129"/>
      <c r="W220" s="129"/>
    </row>
    <row r="221" s="130" customFormat="true" ht="13.9" hidden="false" customHeight="true" outlineLevel="0" collapsed="false">
      <c r="A221" s="149" t="s">
        <v>243</v>
      </c>
      <c r="B221" s="142" t="s">
        <v>172</v>
      </c>
      <c r="C221" s="122" t="s">
        <v>30</v>
      </c>
      <c r="D221" s="132" t="s">
        <v>42</v>
      </c>
      <c r="E221" s="132" t="s">
        <v>153</v>
      </c>
      <c r="F221" s="126" t="n">
        <f aca="false">SUM(G221:R221)</f>
        <v>6729.94476120504</v>
      </c>
      <c r="G221" s="126" t="n">
        <f aca="false">SUM(G222:G227)</f>
        <v>848.4</v>
      </c>
      <c r="H221" s="126" t="n">
        <f aca="false">SUM(H222:H227)</f>
        <v>1000</v>
      </c>
      <c r="I221" s="125" t="n">
        <f aca="false">IFERROR(H221/G221,0)</f>
        <v>1.17868929750118</v>
      </c>
      <c r="J221" s="126" t="n">
        <f aca="false">SUM(J222:J227)</f>
        <v>1000</v>
      </c>
      <c r="K221" s="125" t="n">
        <f aca="false">IFERROR(J221/H221,0)</f>
        <v>1</v>
      </c>
      <c r="L221" s="126" t="n">
        <f aca="false">SUM(L222:L227)</f>
        <v>1063</v>
      </c>
      <c r="M221" s="125" t="n">
        <f aca="false">IFERROR(L221/J221,0)</f>
        <v>1.063</v>
      </c>
      <c r="N221" s="126" t="n">
        <f aca="false">SUM(N222:N227)</f>
        <v>924.8</v>
      </c>
      <c r="O221" s="125" t="n">
        <f aca="false">IFERROR(N221/L221,0)</f>
        <v>0.869990592662277</v>
      </c>
      <c r="P221" s="126" t="n">
        <f aca="false">SUM(P222:P227)</f>
        <v>925.8</v>
      </c>
      <c r="Q221" s="125" t="n">
        <f aca="false">IFERROR(P221/N221,0)</f>
        <v>1.00108131487889</v>
      </c>
      <c r="R221" s="126" t="n">
        <f aca="false">SUM(R222:R227)</f>
        <v>962.832</v>
      </c>
      <c r="S221" s="127"/>
      <c r="T221" s="125" t="n">
        <f aca="false">IFERROR(R221/P221,0)</f>
        <v>1.04</v>
      </c>
      <c r="U221" s="129"/>
      <c r="V221" s="129"/>
      <c r="W221" s="129"/>
    </row>
    <row r="222" s="130" customFormat="true" ht="27.6" hidden="false" customHeight="false" outlineLevel="0" collapsed="false">
      <c r="A222" s="149"/>
      <c r="B222" s="142"/>
      <c r="C222" s="122" t="s">
        <v>31</v>
      </c>
      <c r="D222" s="132"/>
      <c r="E222" s="132"/>
      <c r="F222" s="126" t="n">
        <f aca="false">SUM(G222:J222)</f>
        <v>0</v>
      </c>
      <c r="G222" s="126"/>
      <c r="H222" s="126"/>
      <c r="I222" s="125"/>
      <c r="J222" s="126"/>
      <c r="K222" s="125"/>
      <c r="L222" s="126"/>
      <c r="M222" s="125"/>
      <c r="N222" s="126"/>
      <c r="O222" s="125"/>
      <c r="P222" s="126"/>
      <c r="Q222" s="125"/>
      <c r="R222" s="126"/>
      <c r="S222" s="127"/>
      <c r="T222" s="125"/>
      <c r="U222" s="129"/>
      <c r="V222" s="129"/>
      <c r="W222" s="129"/>
    </row>
    <row r="223" s="130" customFormat="true" ht="27.6" hidden="false" customHeight="false" outlineLevel="0" collapsed="false">
      <c r="A223" s="149"/>
      <c r="B223" s="142"/>
      <c r="C223" s="122" t="s">
        <v>32</v>
      </c>
      <c r="D223" s="132"/>
      <c r="E223" s="132"/>
      <c r="F223" s="126" t="n">
        <f aca="false">SUM(G223:R223)</f>
        <v>6729.94476120504</v>
      </c>
      <c r="G223" s="126" t="n">
        <v>848.4</v>
      </c>
      <c r="H223" s="126" t="n">
        <v>1000</v>
      </c>
      <c r="I223" s="125" t="n">
        <f aca="false">IFERROR(H223/G223,0)</f>
        <v>1.17868929750118</v>
      </c>
      <c r="J223" s="126" t="n">
        <v>1000</v>
      </c>
      <c r="K223" s="125" t="n">
        <f aca="false">IFERROR(J223/H223,0)</f>
        <v>1</v>
      </c>
      <c r="L223" s="126" t="n">
        <v>1063</v>
      </c>
      <c r="M223" s="125" t="n">
        <f aca="false">IFERROR(L223/J223,0)</f>
        <v>1.063</v>
      </c>
      <c r="N223" s="126" t="n">
        <v>924.8</v>
      </c>
      <c r="O223" s="125" t="n">
        <f aca="false">IFERROR(N223/L223,0)</f>
        <v>0.869990592662277</v>
      </c>
      <c r="P223" s="126" t="n">
        <v>925.8</v>
      </c>
      <c r="Q223" s="125" t="n">
        <f aca="false">IFERROR(P223/N223,0)</f>
        <v>1.00108131487889</v>
      </c>
      <c r="R223" s="126" t="n">
        <f aca="false">P223*104/100</f>
        <v>962.832</v>
      </c>
      <c r="S223" s="127"/>
      <c r="T223" s="125" t="n">
        <f aca="false">IFERROR(R223/P223,0)</f>
        <v>1.04</v>
      </c>
      <c r="U223" s="129"/>
      <c r="V223" s="129"/>
      <c r="W223" s="129"/>
    </row>
    <row r="224" s="130" customFormat="true" ht="27.6" hidden="false" customHeight="false" outlineLevel="0" collapsed="false">
      <c r="A224" s="149"/>
      <c r="B224" s="142"/>
      <c r="C224" s="122" t="s">
        <v>33</v>
      </c>
      <c r="D224" s="132"/>
      <c r="E224" s="132"/>
      <c r="F224" s="126" t="n">
        <f aca="false">SUM(G224:J224)</f>
        <v>0</v>
      </c>
      <c r="G224" s="126"/>
      <c r="H224" s="126"/>
      <c r="I224" s="125"/>
      <c r="J224" s="126"/>
      <c r="K224" s="125"/>
      <c r="L224" s="126"/>
      <c r="M224" s="125"/>
      <c r="N224" s="126"/>
      <c r="O224" s="125"/>
      <c r="P224" s="126"/>
      <c r="Q224" s="125"/>
      <c r="R224" s="126" t="n">
        <f aca="false">P224*104/100</f>
        <v>0</v>
      </c>
      <c r="S224" s="127"/>
      <c r="T224" s="125"/>
      <c r="U224" s="129"/>
      <c r="V224" s="129"/>
      <c r="W224" s="129"/>
    </row>
    <row r="225" s="130" customFormat="true" ht="34.5" hidden="false" customHeight="true" outlineLevel="0" collapsed="false">
      <c r="A225" s="149"/>
      <c r="B225" s="142"/>
      <c r="C225" s="122" t="s">
        <v>34</v>
      </c>
      <c r="D225" s="132"/>
      <c r="E225" s="132"/>
      <c r="F225" s="126"/>
      <c r="G225" s="126"/>
      <c r="H225" s="126"/>
      <c r="I225" s="125"/>
      <c r="J225" s="126"/>
      <c r="K225" s="125"/>
      <c r="L225" s="126"/>
      <c r="M225" s="125"/>
      <c r="N225" s="126"/>
      <c r="O225" s="125"/>
      <c r="P225" s="126"/>
      <c r="Q225" s="125"/>
      <c r="R225" s="126" t="n">
        <f aca="false">P225*104/100</f>
        <v>0</v>
      </c>
      <c r="S225" s="127"/>
      <c r="T225" s="125"/>
      <c r="U225" s="129"/>
      <c r="V225" s="129"/>
      <c r="W225" s="129"/>
    </row>
    <row r="226" s="130" customFormat="true" ht="27.6" hidden="false" customHeight="false" outlineLevel="0" collapsed="false">
      <c r="A226" s="149"/>
      <c r="B226" s="142"/>
      <c r="C226" s="122" t="s">
        <v>35</v>
      </c>
      <c r="D226" s="132"/>
      <c r="E226" s="132"/>
      <c r="F226" s="126"/>
      <c r="G226" s="126"/>
      <c r="H226" s="126"/>
      <c r="I226" s="125"/>
      <c r="J226" s="126"/>
      <c r="K226" s="125"/>
      <c r="L226" s="126"/>
      <c r="M226" s="125"/>
      <c r="N226" s="126"/>
      <c r="O226" s="125"/>
      <c r="P226" s="126"/>
      <c r="Q226" s="125"/>
      <c r="R226" s="126" t="n">
        <f aca="false">P226*104/100</f>
        <v>0</v>
      </c>
      <c r="S226" s="127"/>
      <c r="T226" s="125"/>
      <c r="U226" s="129"/>
      <c r="V226" s="129"/>
      <c r="W226" s="129"/>
    </row>
    <row r="227" s="130" customFormat="true" ht="41.4" hidden="false" customHeight="false" outlineLevel="0" collapsed="false">
      <c r="A227" s="149"/>
      <c r="B227" s="142"/>
      <c r="C227" s="122" t="s">
        <v>36</v>
      </c>
      <c r="D227" s="132"/>
      <c r="E227" s="132"/>
      <c r="F227" s="126"/>
      <c r="G227" s="126"/>
      <c r="H227" s="126"/>
      <c r="I227" s="125"/>
      <c r="J227" s="126"/>
      <c r="K227" s="125"/>
      <c r="L227" s="126"/>
      <c r="M227" s="125"/>
      <c r="N227" s="126"/>
      <c r="O227" s="125"/>
      <c r="P227" s="126"/>
      <c r="Q227" s="125"/>
      <c r="R227" s="126" t="n">
        <f aca="false">P227*104/100</f>
        <v>0</v>
      </c>
      <c r="S227" s="127"/>
      <c r="T227" s="125"/>
      <c r="U227" s="129"/>
      <c r="V227" s="129"/>
      <c r="W227" s="129"/>
    </row>
    <row r="228" s="130" customFormat="true" ht="13.9" hidden="false" customHeight="true" outlineLevel="0" collapsed="false">
      <c r="A228" s="149" t="s">
        <v>244</v>
      </c>
      <c r="B228" s="142" t="s">
        <v>174</v>
      </c>
      <c r="C228" s="122" t="s">
        <v>30</v>
      </c>
      <c r="D228" s="132" t="s">
        <v>42</v>
      </c>
      <c r="E228" s="132" t="s">
        <v>153</v>
      </c>
      <c r="F228" s="126" t="n">
        <f aca="false">SUM(G228:J228)</f>
        <v>100</v>
      </c>
      <c r="G228" s="126" t="n">
        <f aca="false">SUM(G229:G234)</f>
        <v>100</v>
      </c>
      <c r="H228" s="126" t="n">
        <f aca="false">SUM(H229:H234)</f>
        <v>0</v>
      </c>
      <c r="I228" s="125"/>
      <c r="J228" s="126" t="n">
        <f aca="false">SUM(J229:J234)</f>
        <v>0</v>
      </c>
      <c r="K228" s="125"/>
      <c r="L228" s="126" t="n">
        <f aca="false">SUM(L229:L234)</f>
        <v>0</v>
      </c>
      <c r="M228" s="125"/>
      <c r="N228" s="126" t="n">
        <f aca="false">SUM(N229:N234)</f>
        <v>0</v>
      </c>
      <c r="O228" s="125"/>
      <c r="P228" s="126" t="n">
        <f aca="false">SUM(P229:P234)</f>
        <v>0</v>
      </c>
      <c r="Q228" s="125"/>
      <c r="R228" s="126" t="n">
        <f aca="false">SUM(R229:R234)</f>
        <v>0</v>
      </c>
      <c r="S228" s="127" t="n">
        <f aca="false">SUM(S229:S234)</f>
        <v>0</v>
      </c>
      <c r="T228" s="125"/>
      <c r="U228" s="129"/>
      <c r="V228" s="129"/>
      <c r="W228" s="129"/>
    </row>
    <row r="229" s="130" customFormat="true" ht="27.6" hidden="false" customHeight="false" outlineLevel="0" collapsed="false">
      <c r="A229" s="149"/>
      <c r="B229" s="142"/>
      <c r="C229" s="122" t="s">
        <v>31</v>
      </c>
      <c r="D229" s="132"/>
      <c r="E229" s="132"/>
      <c r="F229" s="126" t="n">
        <f aca="false">SUM(G229:S229)</f>
        <v>0</v>
      </c>
      <c r="G229" s="126"/>
      <c r="H229" s="126"/>
      <c r="I229" s="125"/>
      <c r="J229" s="126"/>
      <c r="K229" s="125"/>
      <c r="L229" s="126"/>
      <c r="M229" s="125"/>
      <c r="N229" s="126"/>
      <c r="O229" s="125"/>
      <c r="P229" s="126"/>
      <c r="Q229" s="125"/>
      <c r="R229" s="126" t="n">
        <f aca="false">P229*104/100</f>
        <v>0</v>
      </c>
      <c r="S229" s="127"/>
      <c r="T229" s="125"/>
      <c r="U229" s="129"/>
      <c r="V229" s="129"/>
      <c r="W229" s="129"/>
    </row>
    <row r="230" s="130" customFormat="true" ht="15" hidden="false" customHeight="true" outlineLevel="0" collapsed="false">
      <c r="A230" s="149"/>
      <c r="B230" s="142"/>
      <c r="C230" s="122" t="s">
        <v>32</v>
      </c>
      <c r="D230" s="132"/>
      <c r="E230" s="132"/>
      <c r="F230" s="126" t="n">
        <f aca="false">SUM(G230:S230)</f>
        <v>100</v>
      </c>
      <c r="G230" s="126" t="n">
        <v>100</v>
      </c>
      <c r="H230" s="126" t="n">
        <v>0</v>
      </c>
      <c r="I230" s="125"/>
      <c r="J230" s="126" t="n">
        <v>0</v>
      </c>
      <c r="K230" s="125"/>
      <c r="L230" s="126"/>
      <c r="M230" s="125"/>
      <c r="N230" s="126"/>
      <c r="O230" s="125"/>
      <c r="P230" s="126"/>
      <c r="Q230" s="125"/>
      <c r="R230" s="126" t="n">
        <f aca="false">P230*104/100</f>
        <v>0</v>
      </c>
      <c r="S230" s="127"/>
      <c r="T230" s="125"/>
      <c r="U230" s="129"/>
      <c r="V230" s="129"/>
      <c r="W230" s="129"/>
    </row>
    <row r="231" s="130" customFormat="true" ht="15" hidden="false" customHeight="true" outlineLevel="0" collapsed="false">
      <c r="A231" s="149"/>
      <c r="B231" s="142"/>
      <c r="C231" s="122" t="s">
        <v>33</v>
      </c>
      <c r="D231" s="132"/>
      <c r="E231" s="132"/>
      <c r="F231" s="126" t="n">
        <f aca="false">SUM(G231:S231)</f>
        <v>0</v>
      </c>
      <c r="G231" s="126"/>
      <c r="H231" s="126"/>
      <c r="I231" s="125"/>
      <c r="J231" s="126"/>
      <c r="K231" s="125"/>
      <c r="L231" s="126"/>
      <c r="M231" s="125"/>
      <c r="N231" s="126"/>
      <c r="O231" s="125"/>
      <c r="P231" s="126"/>
      <c r="Q231" s="125"/>
      <c r="R231" s="126" t="n">
        <f aca="false">P231*104/100</f>
        <v>0</v>
      </c>
      <c r="S231" s="127"/>
      <c r="T231" s="125"/>
      <c r="U231" s="129"/>
      <c r="V231" s="129"/>
      <c r="W231" s="129"/>
    </row>
    <row r="232" s="130" customFormat="true" ht="30.75" hidden="false" customHeight="true" outlineLevel="0" collapsed="false">
      <c r="A232" s="149"/>
      <c r="B232" s="142"/>
      <c r="C232" s="122" t="s">
        <v>34</v>
      </c>
      <c r="D232" s="132"/>
      <c r="E232" s="132"/>
      <c r="F232" s="126"/>
      <c r="G232" s="126"/>
      <c r="H232" s="126"/>
      <c r="I232" s="125"/>
      <c r="J232" s="126"/>
      <c r="K232" s="125"/>
      <c r="L232" s="126"/>
      <c r="M232" s="125"/>
      <c r="N232" s="126"/>
      <c r="O232" s="125"/>
      <c r="P232" s="126"/>
      <c r="Q232" s="125"/>
      <c r="R232" s="126" t="n">
        <f aca="false">P232*104/100</f>
        <v>0</v>
      </c>
      <c r="S232" s="127"/>
      <c r="T232" s="125"/>
      <c r="U232" s="129"/>
      <c r="V232" s="129"/>
      <c r="W232" s="129"/>
    </row>
    <row r="233" s="130" customFormat="true" ht="15" hidden="false" customHeight="true" outlineLevel="0" collapsed="false">
      <c r="A233" s="149"/>
      <c r="B233" s="142"/>
      <c r="C233" s="122" t="s">
        <v>35</v>
      </c>
      <c r="D233" s="132"/>
      <c r="E233" s="132"/>
      <c r="F233" s="126"/>
      <c r="G233" s="126"/>
      <c r="H233" s="126"/>
      <c r="I233" s="125"/>
      <c r="J233" s="126"/>
      <c r="K233" s="125"/>
      <c r="L233" s="126"/>
      <c r="M233" s="125"/>
      <c r="N233" s="126"/>
      <c r="O233" s="125"/>
      <c r="P233" s="126"/>
      <c r="Q233" s="125"/>
      <c r="R233" s="126" t="n">
        <f aca="false">P233*104/100</f>
        <v>0</v>
      </c>
      <c r="S233" s="127"/>
      <c r="T233" s="125"/>
      <c r="U233" s="129"/>
      <c r="V233" s="129"/>
      <c r="W233" s="129"/>
    </row>
    <row r="234" s="130" customFormat="true" ht="41.4" hidden="false" customHeight="false" outlineLevel="0" collapsed="false">
      <c r="A234" s="149"/>
      <c r="B234" s="142"/>
      <c r="C234" s="122" t="s">
        <v>36</v>
      </c>
      <c r="D234" s="132"/>
      <c r="E234" s="132"/>
      <c r="F234" s="126"/>
      <c r="G234" s="126"/>
      <c r="H234" s="126"/>
      <c r="I234" s="125"/>
      <c r="J234" s="126"/>
      <c r="K234" s="125"/>
      <c r="L234" s="126"/>
      <c r="M234" s="125"/>
      <c r="N234" s="126"/>
      <c r="O234" s="125"/>
      <c r="P234" s="126"/>
      <c r="Q234" s="125"/>
      <c r="R234" s="126" t="n">
        <f aca="false">P234*104/100</f>
        <v>0</v>
      </c>
      <c r="S234" s="127"/>
      <c r="T234" s="125"/>
      <c r="U234" s="129"/>
      <c r="V234" s="129"/>
      <c r="W234" s="129"/>
    </row>
    <row r="235" s="130" customFormat="true" ht="15.6" hidden="true" customHeight="false" outlineLevel="0" collapsed="false">
      <c r="A235" s="149"/>
      <c r="B235" s="142"/>
      <c r="C235" s="122"/>
      <c r="D235" s="132"/>
      <c r="E235" s="132"/>
      <c r="F235" s="126"/>
      <c r="G235" s="126"/>
      <c r="H235" s="126"/>
      <c r="I235" s="125" t="n">
        <f aca="false">IFERROR(H235/G235,0)</f>
        <v>0</v>
      </c>
      <c r="J235" s="126"/>
      <c r="K235" s="125" t="n">
        <f aca="false">IFERROR(J235/H235,0)</f>
        <v>0</v>
      </c>
      <c r="L235" s="126"/>
      <c r="M235" s="125" t="n">
        <f aca="false">IFERROR(L235/J235,0)</f>
        <v>0</v>
      </c>
      <c r="N235" s="126"/>
      <c r="O235" s="125" t="n">
        <f aca="false">IFERROR(N235/L235,0)</f>
        <v>0</v>
      </c>
      <c r="P235" s="126"/>
      <c r="Q235" s="125" t="n">
        <f aca="false">IFERROR(P235/N235,0)</f>
        <v>0</v>
      </c>
      <c r="R235" s="126" t="n">
        <f aca="false">P235*104/100</f>
        <v>0</v>
      </c>
      <c r="S235" s="127"/>
      <c r="T235" s="125" t="n">
        <f aca="false">IFERROR(R235/P235,0)</f>
        <v>0</v>
      </c>
      <c r="U235" s="129"/>
      <c r="V235" s="129"/>
      <c r="W235" s="129"/>
    </row>
    <row r="236" s="130" customFormat="true" ht="13.9" hidden="false" customHeight="true" outlineLevel="0" collapsed="false">
      <c r="A236" s="149" t="s">
        <v>245</v>
      </c>
      <c r="B236" s="142" t="s">
        <v>180</v>
      </c>
      <c r="C236" s="122" t="s">
        <v>30</v>
      </c>
      <c r="D236" s="148" t="s">
        <v>42</v>
      </c>
      <c r="E236" s="148" t="s">
        <v>170</v>
      </c>
      <c r="F236" s="124" t="n">
        <f aca="false">SUM(G236:S236)</f>
        <v>911769.761739106</v>
      </c>
      <c r="G236" s="124" t="n">
        <f aca="false">SUM(G237:G242)</f>
        <v>111714.48461</v>
      </c>
      <c r="H236" s="124" t="n">
        <f aca="false">SUM(H237:H242)</f>
        <v>110139.32692</v>
      </c>
      <c r="I236" s="125" t="n">
        <f aca="false">IFERROR(H236/G236,0)</f>
        <v>0.985900148082866</v>
      </c>
      <c r="J236" s="124" t="n">
        <f aca="false">SUM(J237:J242)</f>
        <v>127182.43</v>
      </c>
      <c r="K236" s="125" t="n">
        <f aca="false">IFERROR(J236/H236,0)</f>
        <v>1.1547413040973</v>
      </c>
      <c r="L236" s="124" t="n">
        <f aca="false">SUM(L237:L242)</f>
        <v>132427.547</v>
      </c>
      <c r="M236" s="125" t="n">
        <f aca="false">IFERROR(L236/J236,0)</f>
        <v>1.04124089310135</v>
      </c>
      <c r="N236" s="124" t="n">
        <f aca="false">SUM(N237:N242)</f>
        <v>140954.277</v>
      </c>
      <c r="O236" s="125" t="n">
        <f aca="false">IFERROR(N236/L236,0)</f>
        <v>1.06438788751407</v>
      </c>
      <c r="P236" s="124" t="n">
        <f aca="false">SUM(P237:P242)</f>
        <v>141836.492</v>
      </c>
      <c r="Q236" s="125" t="n">
        <f aca="false">IFERROR(P236/N236,0)</f>
        <v>1.00625887357785</v>
      </c>
      <c r="R236" s="126" t="n">
        <f aca="false">SUM(R237:R242)</f>
        <v>147509.95168</v>
      </c>
      <c r="S236" s="127"/>
      <c r="T236" s="125" t="n">
        <f aca="false">IFERROR(R236/P236,0)</f>
        <v>1.04</v>
      </c>
      <c r="U236" s="129"/>
      <c r="V236" s="129"/>
      <c r="W236" s="129"/>
    </row>
    <row r="237" s="130" customFormat="true" ht="30.45" hidden="false" customHeight="true" outlineLevel="0" collapsed="false">
      <c r="A237" s="149"/>
      <c r="B237" s="142"/>
      <c r="C237" s="122" t="s">
        <v>31</v>
      </c>
      <c r="D237" s="132"/>
      <c r="E237" s="132"/>
      <c r="F237" s="126"/>
      <c r="G237" s="126"/>
      <c r="H237" s="126"/>
      <c r="I237" s="125"/>
      <c r="J237" s="126"/>
      <c r="K237" s="125"/>
      <c r="L237" s="126"/>
      <c r="M237" s="125"/>
      <c r="N237" s="126"/>
      <c r="O237" s="125"/>
      <c r="P237" s="126"/>
      <c r="Q237" s="125"/>
      <c r="R237" s="126"/>
      <c r="S237" s="127"/>
      <c r="T237" s="125"/>
      <c r="U237" s="129"/>
      <c r="V237" s="129"/>
      <c r="W237" s="129"/>
    </row>
    <row r="238" s="130" customFormat="true" ht="27.6" hidden="false" customHeight="false" outlineLevel="0" collapsed="false">
      <c r="A238" s="149"/>
      <c r="B238" s="142"/>
      <c r="C238" s="122" t="s">
        <v>32</v>
      </c>
      <c r="D238" s="132" t="s">
        <v>42</v>
      </c>
      <c r="E238" s="132" t="s">
        <v>170</v>
      </c>
      <c r="F238" s="126" t="n">
        <f aca="false">F245+F252</f>
        <v>911778.158103637</v>
      </c>
      <c r="G238" s="126" t="n">
        <f aca="false">G245+G252</f>
        <v>111714.48461</v>
      </c>
      <c r="H238" s="126" t="n">
        <f aca="false">H245+H252</f>
        <v>110139.32692</v>
      </c>
      <c r="I238" s="125" t="n">
        <f aca="false">IFERROR(H238/G238,0)</f>
        <v>0.985900148082866</v>
      </c>
      <c r="J238" s="126" t="n">
        <f aca="false">J245+J252</f>
        <v>127182.43</v>
      </c>
      <c r="K238" s="125" t="n">
        <f aca="false">IFERROR(J238/H238,0)</f>
        <v>1.1547413040973</v>
      </c>
      <c r="L238" s="126" t="n">
        <f aca="false">L245+L252</f>
        <v>132427.547</v>
      </c>
      <c r="M238" s="125" t="n">
        <f aca="false">IFERROR(L238/J238,0)</f>
        <v>1.04124089310135</v>
      </c>
      <c r="N238" s="126" t="n">
        <f aca="false">N245+N252</f>
        <v>140954.277</v>
      </c>
      <c r="O238" s="125" t="n">
        <f aca="false">IFERROR(N238/L238,0)</f>
        <v>1.06438788751407</v>
      </c>
      <c r="P238" s="126" t="n">
        <f aca="false">P245+P252</f>
        <v>141836.492</v>
      </c>
      <c r="Q238" s="125" t="n">
        <f aca="false">IFERROR(P238/N238,0)</f>
        <v>1.00625887357785</v>
      </c>
      <c r="R238" s="126" t="n">
        <f aca="false">P238*104/100</f>
        <v>147509.95168</v>
      </c>
      <c r="S238" s="127"/>
      <c r="T238" s="125" t="n">
        <f aca="false">IFERROR(R238/P238,0)</f>
        <v>1.04</v>
      </c>
      <c r="U238" s="129"/>
      <c r="V238" s="129"/>
      <c r="W238" s="129"/>
    </row>
    <row r="239" s="130" customFormat="true" ht="27.6" hidden="false" customHeight="false" outlineLevel="0" collapsed="false">
      <c r="A239" s="149"/>
      <c r="B239" s="142"/>
      <c r="C239" s="122" t="s">
        <v>33</v>
      </c>
      <c r="D239" s="132"/>
      <c r="E239" s="132"/>
      <c r="F239" s="126" t="n">
        <f aca="false">F246</f>
        <v>0</v>
      </c>
      <c r="G239" s="126" t="n">
        <f aca="false">G246</f>
        <v>0</v>
      </c>
      <c r="H239" s="126" t="n">
        <f aca="false">H246</f>
        <v>0</v>
      </c>
      <c r="I239" s="125"/>
      <c r="J239" s="126" t="n">
        <f aca="false">J246</f>
        <v>0</v>
      </c>
      <c r="K239" s="125"/>
      <c r="L239" s="126"/>
      <c r="M239" s="125"/>
      <c r="N239" s="126"/>
      <c r="O239" s="125"/>
      <c r="P239" s="126"/>
      <c r="Q239" s="125"/>
      <c r="R239" s="126" t="n">
        <f aca="false">P239*104/100</f>
        <v>0</v>
      </c>
      <c r="S239" s="127"/>
      <c r="T239" s="125"/>
      <c r="U239" s="129"/>
      <c r="V239" s="129"/>
      <c r="W239" s="129"/>
    </row>
    <row r="240" s="130" customFormat="true" ht="33" hidden="false" customHeight="true" outlineLevel="0" collapsed="false">
      <c r="A240" s="149"/>
      <c r="B240" s="142"/>
      <c r="C240" s="122" t="s">
        <v>34</v>
      </c>
      <c r="D240" s="132"/>
      <c r="E240" s="132"/>
      <c r="F240" s="126"/>
      <c r="G240" s="126"/>
      <c r="H240" s="126"/>
      <c r="I240" s="125"/>
      <c r="J240" s="126"/>
      <c r="K240" s="125"/>
      <c r="L240" s="126"/>
      <c r="M240" s="125"/>
      <c r="N240" s="126"/>
      <c r="O240" s="125"/>
      <c r="P240" s="126"/>
      <c r="Q240" s="125"/>
      <c r="R240" s="126" t="n">
        <f aca="false">P240*104/100</f>
        <v>0</v>
      </c>
      <c r="S240" s="127"/>
      <c r="T240" s="125"/>
      <c r="U240" s="129"/>
      <c r="V240" s="129"/>
      <c r="W240" s="129"/>
    </row>
    <row r="241" s="130" customFormat="true" ht="27.6" hidden="false" customHeight="false" outlineLevel="0" collapsed="false">
      <c r="A241" s="149"/>
      <c r="B241" s="142"/>
      <c r="C241" s="122" t="s">
        <v>35</v>
      </c>
      <c r="D241" s="132"/>
      <c r="E241" s="132"/>
      <c r="F241" s="126"/>
      <c r="G241" s="126"/>
      <c r="H241" s="126"/>
      <c r="I241" s="125"/>
      <c r="J241" s="126"/>
      <c r="K241" s="125"/>
      <c r="L241" s="126"/>
      <c r="M241" s="125"/>
      <c r="N241" s="126"/>
      <c r="O241" s="125"/>
      <c r="P241" s="126"/>
      <c r="Q241" s="125"/>
      <c r="R241" s="126" t="n">
        <f aca="false">P241*104/100</f>
        <v>0</v>
      </c>
      <c r="S241" s="127"/>
      <c r="T241" s="125"/>
      <c r="U241" s="129"/>
      <c r="V241" s="129"/>
      <c r="W241" s="129"/>
    </row>
    <row r="242" s="130" customFormat="true" ht="41.4" hidden="false" customHeight="false" outlineLevel="0" collapsed="false">
      <c r="A242" s="149"/>
      <c r="B242" s="142"/>
      <c r="C242" s="122" t="s">
        <v>36</v>
      </c>
      <c r="D242" s="132"/>
      <c r="E242" s="132"/>
      <c r="F242" s="126"/>
      <c r="G242" s="126"/>
      <c r="H242" s="126"/>
      <c r="I242" s="125"/>
      <c r="J242" s="126"/>
      <c r="K242" s="125"/>
      <c r="L242" s="126"/>
      <c r="M242" s="125"/>
      <c r="N242" s="126"/>
      <c r="O242" s="125"/>
      <c r="P242" s="126"/>
      <c r="Q242" s="125"/>
      <c r="R242" s="126" t="n">
        <f aca="false">P242*104/100</f>
        <v>0</v>
      </c>
      <c r="S242" s="127"/>
      <c r="T242" s="125"/>
      <c r="U242" s="129"/>
      <c r="V242" s="129"/>
      <c r="W242" s="129"/>
    </row>
    <row r="243" s="130" customFormat="true" ht="13.9" hidden="false" customHeight="true" outlineLevel="0" collapsed="false">
      <c r="A243" s="149" t="s">
        <v>246</v>
      </c>
      <c r="B243" s="142" t="s">
        <v>183</v>
      </c>
      <c r="C243" s="122" t="s">
        <v>30</v>
      </c>
      <c r="D243" s="132" t="s">
        <v>42</v>
      </c>
      <c r="E243" s="132" t="s">
        <v>170</v>
      </c>
      <c r="F243" s="126" t="n">
        <f aca="false">SUM(F244:F247)</f>
        <v>908441.700191715</v>
      </c>
      <c r="G243" s="126" t="n">
        <f aca="false">SUM(G244:G247)</f>
        <v>110928.82801</v>
      </c>
      <c r="H243" s="126" t="n">
        <f aca="false">SUM(H244:H247)</f>
        <v>109976.09592</v>
      </c>
      <c r="I243" s="125" t="n">
        <f aca="false">IFERROR(H243/G243,0)</f>
        <v>0.9914113210507</v>
      </c>
      <c r="J243" s="126" t="n">
        <f aca="false">SUM(J244:J247)</f>
        <v>126202.5</v>
      </c>
      <c r="K243" s="125" t="n">
        <f aca="false">IFERROR(J243/H243,0)</f>
        <v>1.14754482730323</v>
      </c>
      <c r="L243" s="126" t="n">
        <f aca="false">SUM(L244:L247)</f>
        <v>132009.547</v>
      </c>
      <c r="M243" s="125" t="n">
        <f aca="false">IFERROR(L243/J243,0)</f>
        <v>1.04601372397536</v>
      </c>
      <c r="N243" s="126" t="n">
        <f aca="false">SUM(N244:N247)</f>
        <v>140623.177</v>
      </c>
      <c r="O243" s="125" t="n">
        <f aca="false">IFERROR(N243/L243,0)</f>
        <v>1.06525005346772</v>
      </c>
      <c r="P243" s="126" t="n">
        <f aca="false">SUM(P244:P247)</f>
        <v>141517.792</v>
      </c>
      <c r="Q243" s="125" t="n">
        <f aca="false">IFERROR(P243/N243,0)</f>
        <v>1.00636178913807</v>
      </c>
      <c r="R243" s="126" t="n">
        <f aca="false">SUM(R244:R247)</f>
        <v>147178.50368</v>
      </c>
      <c r="S243" s="127" t="n">
        <f aca="false">SUM(S244:S247)</f>
        <v>0</v>
      </c>
      <c r="T243" s="125" t="n">
        <f aca="false">IFERROR(R243/P243,0)</f>
        <v>1.04</v>
      </c>
      <c r="U243" s="129"/>
      <c r="V243" s="129"/>
      <c r="W243" s="129"/>
    </row>
    <row r="244" s="130" customFormat="true" ht="30.45" hidden="false" customHeight="true" outlineLevel="0" collapsed="false">
      <c r="A244" s="149"/>
      <c r="B244" s="142"/>
      <c r="C244" s="122" t="s">
        <v>31</v>
      </c>
      <c r="D244" s="132"/>
      <c r="E244" s="132"/>
      <c r="F244" s="126"/>
      <c r="G244" s="126"/>
      <c r="H244" s="126"/>
      <c r="I244" s="125"/>
      <c r="J244" s="126"/>
      <c r="K244" s="125"/>
      <c r="L244" s="126"/>
      <c r="M244" s="125"/>
      <c r="N244" s="126"/>
      <c r="O244" s="125"/>
      <c r="P244" s="126"/>
      <c r="Q244" s="125"/>
      <c r="R244" s="126" t="n">
        <f aca="false">P244*104/100</f>
        <v>0</v>
      </c>
      <c r="S244" s="127"/>
      <c r="T244" s="125"/>
      <c r="U244" s="129"/>
      <c r="V244" s="129"/>
      <c r="W244" s="129"/>
    </row>
    <row r="245" s="130" customFormat="true" ht="27.6" hidden="false" customHeight="false" outlineLevel="0" collapsed="false">
      <c r="A245" s="149"/>
      <c r="B245" s="142"/>
      <c r="C245" s="122" t="s">
        <v>32</v>
      </c>
      <c r="D245" s="132"/>
      <c r="E245" s="132"/>
      <c r="F245" s="126" t="n">
        <f aca="false">SUM(G245:R245)</f>
        <v>908441.700191715</v>
      </c>
      <c r="G245" s="126" t="n">
        <v>110928.82801</v>
      </c>
      <c r="H245" s="126" t="n">
        <v>109976.09592</v>
      </c>
      <c r="I245" s="125" t="n">
        <f aca="false">IFERROR(H245/G245,0)</f>
        <v>0.9914113210507</v>
      </c>
      <c r="J245" s="126" t="n">
        <v>126202.5</v>
      </c>
      <c r="K245" s="125" t="n">
        <f aca="false">IFERROR(J245/H245,0)</f>
        <v>1.14754482730323</v>
      </c>
      <c r="L245" s="126" t="n">
        <v>132009.547</v>
      </c>
      <c r="M245" s="125" t="n">
        <f aca="false">IFERROR(L245/J245,0)</f>
        <v>1.04601372397536</v>
      </c>
      <c r="N245" s="126" t="n">
        <v>140623.177</v>
      </c>
      <c r="O245" s="125" t="n">
        <f aca="false">IFERROR(N245/L245,0)</f>
        <v>1.06525005346772</v>
      </c>
      <c r="P245" s="126" t="n">
        <v>141517.792</v>
      </c>
      <c r="Q245" s="125" t="n">
        <f aca="false">IFERROR(P245/N245,0)</f>
        <v>1.00636178913807</v>
      </c>
      <c r="R245" s="126" t="n">
        <f aca="false">P245*104/100</f>
        <v>147178.50368</v>
      </c>
      <c r="S245" s="127"/>
      <c r="T245" s="125" t="n">
        <f aca="false">IFERROR(R245/P245,0)</f>
        <v>1.04</v>
      </c>
      <c r="U245" s="129"/>
      <c r="V245" s="129"/>
      <c r="W245" s="129"/>
    </row>
    <row r="246" s="130" customFormat="true" ht="27.6" hidden="false" customHeight="false" outlineLevel="0" collapsed="false">
      <c r="A246" s="149"/>
      <c r="B246" s="142"/>
      <c r="C246" s="122" t="s">
        <v>33</v>
      </c>
      <c r="D246" s="132"/>
      <c r="E246" s="132"/>
      <c r="F246" s="126"/>
      <c r="G246" s="126"/>
      <c r="H246" s="126"/>
      <c r="I246" s="125"/>
      <c r="J246" s="126"/>
      <c r="K246" s="125"/>
      <c r="L246" s="126"/>
      <c r="M246" s="125"/>
      <c r="N246" s="126"/>
      <c r="O246" s="125"/>
      <c r="P246" s="126"/>
      <c r="Q246" s="125"/>
      <c r="R246" s="126" t="n">
        <f aca="false">P246*104/100</f>
        <v>0</v>
      </c>
      <c r="S246" s="127"/>
      <c r="T246" s="125"/>
      <c r="U246" s="129"/>
      <c r="V246" s="129"/>
      <c r="W246" s="129"/>
    </row>
    <row r="247" s="130" customFormat="true" ht="31.95" hidden="false" customHeight="true" outlineLevel="0" collapsed="false">
      <c r="A247" s="149"/>
      <c r="B247" s="142"/>
      <c r="C247" s="122" t="s">
        <v>34</v>
      </c>
      <c r="D247" s="132"/>
      <c r="E247" s="132"/>
      <c r="F247" s="126"/>
      <c r="G247" s="126"/>
      <c r="H247" s="126"/>
      <c r="I247" s="125"/>
      <c r="J247" s="126"/>
      <c r="K247" s="125"/>
      <c r="L247" s="126"/>
      <c r="M247" s="125"/>
      <c r="N247" s="126"/>
      <c r="O247" s="125"/>
      <c r="P247" s="126"/>
      <c r="Q247" s="125"/>
      <c r="R247" s="126" t="n">
        <f aca="false">P247*104/100</f>
        <v>0</v>
      </c>
      <c r="S247" s="127"/>
      <c r="T247" s="125"/>
      <c r="U247" s="129"/>
      <c r="V247" s="129"/>
      <c r="W247" s="129"/>
    </row>
    <row r="248" s="130" customFormat="true" ht="27.6" hidden="false" customHeight="false" outlineLevel="0" collapsed="false">
      <c r="A248" s="149"/>
      <c r="B248" s="142"/>
      <c r="C248" s="122" t="s">
        <v>35</v>
      </c>
      <c r="D248" s="132"/>
      <c r="E248" s="132"/>
      <c r="F248" s="126"/>
      <c r="G248" s="126"/>
      <c r="H248" s="126"/>
      <c r="I248" s="125"/>
      <c r="J248" s="126"/>
      <c r="K248" s="125"/>
      <c r="L248" s="126"/>
      <c r="M248" s="125"/>
      <c r="N248" s="126"/>
      <c r="O248" s="125"/>
      <c r="P248" s="126"/>
      <c r="Q248" s="125"/>
      <c r="R248" s="126" t="n">
        <f aca="false">P248*104/100</f>
        <v>0</v>
      </c>
      <c r="S248" s="127"/>
      <c r="T248" s="125"/>
      <c r="U248" s="129"/>
      <c r="V248" s="129"/>
      <c r="W248" s="129"/>
    </row>
    <row r="249" s="130" customFormat="true" ht="41.4" hidden="false" customHeight="false" outlineLevel="0" collapsed="false">
      <c r="A249" s="149"/>
      <c r="B249" s="142"/>
      <c r="C249" s="122" t="s">
        <v>36</v>
      </c>
      <c r="D249" s="132"/>
      <c r="E249" s="132"/>
      <c r="F249" s="126"/>
      <c r="G249" s="126"/>
      <c r="H249" s="126"/>
      <c r="I249" s="125"/>
      <c r="J249" s="126"/>
      <c r="K249" s="125"/>
      <c r="L249" s="126"/>
      <c r="M249" s="125"/>
      <c r="N249" s="126"/>
      <c r="O249" s="125"/>
      <c r="P249" s="126"/>
      <c r="Q249" s="125"/>
      <c r="R249" s="126" t="n">
        <f aca="false">P249*104/100</f>
        <v>0</v>
      </c>
      <c r="S249" s="127"/>
      <c r="T249" s="125"/>
      <c r="U249" s="129"/>
      <c r="V249" s="129"/>
      <c r="W249" s="129"/>
    </row>
    <row r="250" s="130" customFormat="true" ht="13.9" hidden="false" customHeight="true" outlineLevel="0" collapsed="false">
      <c r="A250" s="149" t="s">
        <v>247</v>
      </c>
      <c r="B250" s="142" t="s">
        <v>185</v>
      </c>
      <c r="C250" s="122" t="s">
        <v>30</v>
      </c>
      <c r="D250" s="132" t="s">
        <v>42</v>
      </c>
      <c r="E250" s="132" t="s">
        <v>170</v>
      </c>
      <c r="F250" s="126" t="n">
        <f aca="false">SUM(F251:F255)</f>
        <v>3336.45791192226</v>
      </c>
      <c r="G250" s="126" t="n">
        <f aca="false">SUM(G251:G255)</f>
        <v>785.6566</v>
      </c>
      <c r="H250" s="126" t="n">
        <f aca="false">SUM(H251:H255)</f>
        <v>163.231</v>
      </c>
      <c r="I250" s="125" t="n">
        <f aca="false">IFERROR(H250/G250,0)</f>
        <v>0.207763799094923</v>
      </c>
      <c r="J250" s="126" t="n">
        <f aca="false">SUM(J251:J255)</f>
        <v>979.93</v>
      </c>
      <c r="K250" s="125" t="n">
        <f aca="false">IFERROR(J250/H250,0)</f>
        <v>6.00333270028365</v>
      </c>
      <c r="L250" s="126" t="n">
        <f aca="false">SUM(L251:L255)</f>
        <v>418</v>
      </c>
      <c r="M250" s="125" t="n">
        <f aca="false">IFERROR(L250/J250,0)</f>
        <v>0.426561080893533</v>
      </c>
      <c r="N250" s="126" t="n">
        <f aca="false">SUM(N251:N255)</f>
        <v>331.1</v>
      </c>
      <c r="O250" s="125" t="n">
        <f aca="false">IFERROR(N250/L250,0)</f>
        <v>0.792105263157895</v>
      </c>
      <c r="P250" s="126" t="n">
        <f aca="false">SUM(P251:P255)</f>
        <v>318.7</v>
      </c>
      <c r="Q250" s="125" t="n">
        <f aca="false">IFERROR(P250/N250,0)</f>
        <v>0.962549078828148</v>
      </c>
      <c r="R250" s="126" t="n">
        <f aca="false">SUM(R251:R255)</f>
        <v>331.448</v>
      </c>
      <c r="S250" s="127"/>
      <c r="T250" s="125" t="n">
        <f aca="false">IFERROR(R250/P250,0)</f>
        <v>1.04</v>
      </c>
      <c r="U250" s="129"/>
      <c r="V250" s="129"/>
      <c r="W250" s="129"/>
    </row>
    <row r="251" s="130" customFormat="true" ht="32.25" hidden="false" customHeight="true" outlineLevel="0" collapsed="false">
      <c r="A251" s="149"/>
      <c r="B251" s="142"/>
      <c r="C251" s="122" t="s">
        <v>31</v>
      </c>
      <c r="D251" s="132"/>
      <c r="E251" s="132"/>
      <c r="F251" s="126"/>
      <c r="G251" s="126"/>
      <c r="H251" s="126"/>
      <c r="I251" s="125"/>
      <c r="J251" s="126"/>
      <c r="K251" s="125"/>
      <c r="L251" s="126"/>
      <c r="M251" s="125"/>
      <c r="N251" s="126"/>
      <c r="O251" s="125"/>
      <c r="P251" s="126"/>
      <c r="Q251" s="125"/>
      <c r="R251" s="126" t="n">
        <f aca="false">P251*104/100</f>
        <v>0</v>
      </c>
      <c r="S251" s="127"/>
      <c r="T251" s="125"/>
      <c r="U251" s="129"/>
      <c r="V251" s="129"/>
      <c r="W251" s="129"/>
    </row>
    <row r="252" s="130" customFormat="true" ht="27.6" hidden="false" customHeight="false" outlineLevel="0" collapsed="false">
      <c r="A252" s="149"/>
      <c r="B252" s="142"/>
      <c r="C252" s="122" t="s">
        <v>32</v>
      </c>
      <c r="D252" s="132"/>
      <c r="E252" s="132"/>
      <c r="F252" s="126" t="n">
        <f aca="false">SUM(G252:R252)</f>
        <v>3336.45791192226</v>
      </c>
      <c r="G252" s="126" t="n">
        <v>785.6566</v>
      </c>
      <c r="H252" s="126" t="n">
        <v>163.231</v>
      </c>
      <c r="I252" s="125" t="n">
        <f aca="false">IFERROR(H252/G252,0)</f>
        <v>0.207763799094923</v>
      </c>
      <c r="J252" s="126" t="n">
        <v>979.93</v>
      </c>
      <c r="K252" s="125" t="n">
        <f aca="false">IFERROR(J252/H252,0)</f>
        <v>6.00333270028365</v>
      </c>
      <c r="L252" s="126" t="n">
        <v>418</v>
      </c>
      <c r="M252" s="125" t="n">
        <f aca="false">IFERROR(L252/J252,0)</f>
        <v>0.426561080893533</v>
      </c>
      <c r="N252" s="126" t="n">
        <v>331.1</v>
      </c>
      <c r="O252" s="125" t="n">
        <f aca="false">IFERROR(N252/L252,0)</f>
        <v>0.792105263157895</v>
      </c>
      <c r="P252" s="126" t="n">
        <v>318.7</v>
      </c>
      <c r="Q252" s="125" t="n">
        <f aca="false">IFERROR(P252/N252,0)</f>
        <v>0.962549078828148</v>
      </c>
      <c r="R252" s="126" t="n">
        <f aca="false">P252*104/100</f>
        <v>331.448</v>
      </c>
      <c r="S252" s="127"/>
      <c r="T252" s="125" t="n">
        <f aca="false">IFERROR(R252/P252,0)</f>
        <v>1.04</v>
      </c>
      <c r="U252" s="129"/>
      <c r="V252" s="129"/>
      <c r="W252" s="129"/>
    </row>
    <row r="253" s="130" customFormat="true" ht="27.6" hidden="false" customHeight="false" outlineLevel="0" collapsed="false">
      <c r="A253" s="149"/>
      <c r="B253" s="142"/>
      <c r="C253" s="122" t="s">
        <v>33</v>
      </c>
      <c r="D253" s="132"/>
      <c r="E253" s="132"/>
      <c r="F253" s="126"/>
      <c r="G253" s="126"/>
      <c r="H253" s="126"/>
      <c r="I253" s="125"/>
      <c r="J253" s="126"/>
      <c r="K253" s="125"/>
      <c r="L253" s="126"/>
      <c r="M253" s="125"/>
      <c r="N253" s="126"/>
      <c r="O253" s="125"/>
      <c r="P253" s="126"/>
      <c r="Q253" s="125"/>
      <c r="R253" s="126" t="n">
        <f aca="false">P253*104/100</f>
        <v>0</v>
      </c>
      <c r="S253" s="127"/>
      <c r="T253" s="125"/>
      <c r="U253" s="129"/>
      <c r="V253" s="129"/>
      <c r="W253" s="129"/>
    </row>
    <row r="254" s="130" customFormat="true" ht="30.45" hidden="false" customHeight="true" outlineLevel="0" collapsed="false">
      <c r="A254" s="149"/>
      <c r="B254" s="142"/>
      <c r="C254" s="122" t="s">
        <v>34</v>
      </c>
      <c r="D254" s="132"/>
      <c r="E254" s="132"/>
      <c r="F254" s="126"/>
      <c r="G254" s="126"/>
      <c r="H254" s="126"/>
      <c r="I254" s="125"/>
      <c r="J254" s="126"/>
      <c r="K254" s="125"/>
      <c r="L254" s="126"/>
      <c r="M254" s="125"/>
      <c r="N254" s="126"/>
      <c r="O254" s="125"/>
      <c r="P254" s="126"/>
      <c r="Q254" s="125"/>
      <c r="R254" s="126" t="n">
        <f aca="false">P254*104/100</f>
        <v>0</v>
      </c>
      <c r="S254" s="127"/>
      <c r="T254" s="125"/>
      <c r="U254" s="129"/>
      <c r="V254" s="129"/>
      <c r="W254" s="129"/>
    </row>
    <row r="255" s="130" customFormat="true" ht="27.6" hidden="false" customHeight="false" outlineLevel="0" collapsed="false">
      <c r="A255" s="149"/>
      <c r="B255" s="142"/>
      <c r="C255" s="122" t="s">
        <v>35</v>
      </c>
      <c r="D255" s="132"/>
      <c r="E255" s="132"/>
      <c r="F255" s="126"/>
      <c r="G255" s="126"/>
      <c r="H255" s="126"/>
      <c r="I255" s="125"/>
      <c r="J255" s="126"/>
      <c r="K255" s="125"/>
      <c r="L255" s="126"/>
      <c r="M255" s="125"/>
      <c r="N255" s="126"/>
      <c r="O255" s="125"/>
      <c r="P255" s="126"/>
      <c r="Q255" s="125"/>
      <c r="R255" s="126" t="n">
        <f aca="false">P255*104/100</f>
        <v>0</v>
      </c>
      <c r="S255" s="127"/>
      <c r="T255" s="125"/>
      <c r="U255" s="129"/>
      <c r="V255" s="129"/>
      <c r="W255" s="129"/>
    </row>
    <row r="256" s="130" customFormat="true" ht="41.4" hidden="false" customHeight="false" outlineLevel="0" collapsed="false">
      <c r="A256" s="149"/>
      <c r="B256" s="142"/>
      <c r="C256" s="122" t="s">
        <v>36</v>
      </c>
      <c r="D256" s="132"/>
      <c r="E256" s="123"/>
      <c r="F256" s="139"/>
      <c r="G256" s="126"/>
      <c r="H256" s="126"/>
      <c r="I256" s="125"/>
      <c r="J256" s="126"/>
      <c r="K256" s="125"/>
      <c r="L256" s="126"/>
      <c r="M256" s="125"/>
      <c r="N256" s="126"/>
      <c r="O256" s="125"/>
      <c r="P256" s="126"/>
      <c r="Q256" s="125"/>
      <c r="R256" s="126" t="n">
        <f aca="false">P256*104/100</f>
        <v>0</v>
      </c>
      <c r="S256" s="127"/>
      <c r="T256" s="125"/>
      <c r="U256" s="129"/>
      <c r="V256" s="129"/>
      <c r="W256" s="129"/>
    </row>
    <row r="257" customFormat="false" ht="21.45" hidden="false" customHeight="true" outlineLevel="0" collapsed="false">
      <c r="F257" s="153"/>
      <c r="G257" s="153"/>
      <c r="H257" s="153"/>
      <c r="I257" s="153"/>
      <c r="J257" s="153"/>
      <c r="K257" s="153"/>
      <c r="L257" s="153"/>
      <c r="M257" s="153"/>
      <c r="N257" s="153"/>
      <c r="O257" s="153"/>
      <c r="P257" s="153"/>
      <c r="Q257" s="153"/>
      <c r="R257" s="154"/>
      <c r="S257" s="153"/>
      <c r="T257" s="153"/>
    </row>
    <row r="258" customFormat="false" ht="3.45" hidden="false" customHeight="true" outlineLevel="0" collapsed="false"/>
    <row r="259" customFormat="false" ht="22.95" hidden="false" customHeight="true" outlineLevel="0" collapsed="false">
      <c r="A259" s="155" t="s">
        <v>199</v>
      </c>
      <c r="B259" s="155"/>
      <c r="C259" s="155"/>
      <c r="D259" s="155"/>
      <c r="E259" s="155"/>
      <c r="F259" s="155"/>
      <c r="G259" s="155"/>
      <c r="H259" s="155"/>
      <c r="I259" s="155"/>
      <c r="J259" s="155"/>
      <c r="K259" s="155"/>
      <c r="L259" s="155"/>
      <c r="M259" s="155"/>
      <c r="N259" s="155"/>
      <c r="O259" s="155"/>
      <c r="P259" s="155"/>
      <c r="Q259" s="155"/>
      <c r="R259" s="155"/>
      <c r="S259" s="155"/>
      <c r="T259" s="156"/>
    </row>
    <row r="260" s="121" customFormat="true" ht="27" hidden="false" customHeight="true" outlineLevel="0" collapsed="false">
      <c r="A260" s="155"/>
      <c r="B260" s="155"/>
      <c r="C260" s="155"/>
      <c r="D260" s="155"/>
      <c r="E260" s="155"/>
      <c r="F260" s="155"/>
      <c r="G260" s="155"/>
      <c r="H260" s="155"/>
      <c r="I260" s="155"/>
      <c r="J260" s="155"/>
      <c r="K260" s="155"/>
      <c r="L260" s="155"/>
      <c r="M260" s="155"/>
      <c r="N260" s="155"/>
      <c r="O260" s="155"/>
      <c r="P260" s="155"/>
      <c r="Q260" s="155"/>
      <c r="R260" s="155"/>
      <c r="S260" s="155"/>
      <c r="T260" s="156"/>
      <c r="U260" s="120"/>
      <c r="V260" s="120"/>
      <c r="W260" s="120"/>
    </row>
    <row r="261" s="121" customFormat="true" ht="26.7" hidden="false" customHeight="true" outlineLevel="0" collapsed="false">
      <c r="A261" s="155"/>
      <c r="B261" s="155"/>
      <c r="C261" s="155"/>
      <c r="D261" s="155"/>
      <c r="E261" s="155"/>
      <c r="F261" s="155"/>
      <c r="G261" s="155"/>
      <c r="H261" s="155"/>
      <c r="I261" s="155"/>
      <c r="J261" s="155"/>
      <c r="K261" s="155"/>
      <c r="L261" s="155"/>
      <c r="M261" s="155"/>
      <c r="N261" s="155"/>
      <c r="O261" s="155"/>
      <c r="P261" s="155"/>
      <c r="Q261" s="155"/>
      <c r="R261" s="155"/>
      <c r="S261" s="155"/>
      <c r="T261" s="156"/>
      <c r="U261" s="120"/>
      <c r="V261" s="120"/>
      <c r="W261" s="120"/>
    </row>
  </sheetData>
  <mergeCells count="84">
    <mergeCell ref="A1:B1"/>
    <mergeCell ref="G1:J1"/>
    <mergeCell ref="N1:R1"/>
    <mergeCell ref="N2:R2"/>
    <mergeCell ref="A4:R4"/>
    <mergeCell ref="A6:R6"/>
    <mergeCell ref="P7:R7"/>
    <mergeCell ref="J8:R8"/>
    <mergeCell ref="H9:R9"/>
    <mergeCell ref="A11:R11"/>
    <mergeCell ref="A12:A13"/>
    <mergeCell ref="B12:B13"/>
    <mergeCell ref="D12:E12"/>
    <mergeCell ref="F12:T12"/>
    <mergeCell ref="A15:A21"/>
    <mergeCell ref="B15:B21"/>
    <mergeCell ref="A22:A28"/>
    <mergeCell ref="B22:B28"/>
    <mergeCell ref="A29:A35"/>
    <mergeCell ref="B29:B35"/>
    <mergeCell ref="A36:A42"/>
    <mergeCell ref="B36:B42"/>
    <mergeCell ref="A43:A61"/>
    <mergeCell ref="B43:B61"/>
    <mergeCell ref="U51:W55"/>
    <mergeCell ref="U57:W61"/>
    <mergeCell ref="A62:A68"/>
    <mergeCell ref="B62:B68"/>
    <mergeCell ref="A69:A75"/>
    <mergeCell ref="B69:B75"/>
    <mergeCell ref="A76:A82"/>
    <mergeCell ref="B76:B82"/>
    <mergeCell ref="A83:A90"/>
    <mergeCell ref="B83:B90"/>
    <mergeCell ref="U83:W86"/>
    <mergeCell ref="A91:A97"/>
    <mergeCell ref="B91:B97"/>
    <mergeCell ref="A98:A104"/>
    <mergeCell ref="B98:B104"/>
    <mergeCell ref="A106:A112"/>
    <mergeCell ref="B106:B112"/>
    <mergeCell ref="A113:A119"/>
    <mergeCell ref="B113:B119"/>
    <mergeCell ref="A120:A126"/>
    <mergeCell ref="B120:B126"/>
    <mergeCell ref="A127:A136"/>
    <mergeCell ref="B127:B136"/>
    <mergeCell ref="U134:W136"/>
    <mergeCell ref="A137:A143"/>
    <mergeCell ref="B137:B143"/>
    <mergeCell ref="A144:A150"/>
    <mergeCell ref="B144:B150"/>
    <mergeCell ref="A151:A157"/>
    <mergeCell ref="B151:B157"/>
    <mergeCell ref="A158:A170"/>
    <mergeCell ref="B158:B170"/>
    <mergeCell ref="U166:W166"/>
    <mergeCell ref="A171:A177"/>
    <mergeCell ref="B171:B177"/>
    <mergeCell ref="A178:A184"/>
    <mergeCell ref="B178:B184"/>
    <mergeCell ref="A185:A191"/>
    <mergeCell ref="B185:B191"/>
    <mergeCell ref="A192:A198"/>
    <mergeCell ref="B192:B198"/>
    <mergeCell ref="A199:A205"/>
    <mergeCell ref="B199:B205"/>
    <mergeCell ref="A206:A212"/>
    <mergeCell ref="B206:B212"/>
    <mergeCell ref="A214:A220"/>
    <mergeCell ref="B214:B220"/>
    <mergeCell ref="A221:A227"/>
    <mergeCell ref="B221:B227"/>
    <mergeCell ref="A228:A234"/>
    <mergeCell ref="B228:B234"/>
    <mergeCell ref="A236:A242"/>
    <mergeCell ref="B236:B242"/>
    <mergeCell ref="A243:A249"/>
    <mergeCell ref="B243:B249"/>
    <mergeCell ref="A250:A256"/>
    <mergeCell ref="B250:B256"/>
    <mergeCell ref="A259:S259"/>
    <mergeCell ref="A260:S260"/>
    <mergeCell ref="A261:S261"/>
  </mergeCells>
  <printOptions headings="false" gridLines="false" gridLinesSet="true" horizontalCentered="false" verticalCentered="false"/>
  <pageMargins left="0.315277777777778" right="0.236111111111111" top="0.984027777777778" bottom="0.39375" header="0.511811023622047" footer="0.511811023622047"/>
  <pageSetup paperSize="77" scale="100" fitToWidth="1" fitToHeight="7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18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A1" activeCellId="1" sqref="T5:T6 A1"/>
    </sheetView>
  </sheetViews>
  <sheetFormatPr defaultColWidth="9.1640625" defaultRowHeight="12.75" zeroHeight="false" outlineLevelRow="0" outlineLevelCol="0"/>
  <cols>
    <col collapsed="false" customWidth="true" hidden="false" outlineLevel="0" max="1" min="1" style="157" width="22.41"/>
    <col collapsed="false" customWidth="true" hidden="false" outlineLevel="0" max="2" min="2" style="157" width="21"/>
    <col collapsed="false" customWidth="true" hidden="false" outlineLevel="0" max="3" min="3" style="157" width="24.94"/>
    <col collapsed="false" customWidth="true" hidden="false" outlineLevel="0" max="4" min="4" style="157" width="11.84"/>
    <col collapsed="false" customWidth="true" hidden="false" outlineLevel="0" max="5" min="5" style="157" width="11.13"/>
    <col collapsed="false" customWidth="true" hidden="false" outlineLevel="0" max="6" min="6" style="157" width="15.51"/>
    <col collapsed="false" customWidth="true" hidden="false" outlineLevel="0" max="7" min="7" style="157" width="13.11"/>
    <col collapsed="false" customWidth="true" hidden="false" outlineLevel="0" max="8" min="8" style="157" width="12.54"/>
    <col collapsed="false" customWidth="true" hidden="false" outlineLevel="0" max="9" min="9" style="157" width="16.49"/>
    <col collapsed="false" customWidth="true" hidden="false" outlineLevel="0" max="10" min="10" style="157" width="13.53"/>
    <col collapsed="false" customWidth="true" hidden="false" outlineLevel="0" max="11" min="11" style="157" width="12.11"/>
    <col collapsed="false" customWidth="true" hidden="false" outlineLevel="0" max="12" min="12" style="157" width="21"/>
    <col collapsed="false" customWidth="false" hidden="false" outlineLevel="0" max="16384" min="13" style="157" width="9.16"/>
  </cols>
  <sheetData>
    <row r="1" customFormat="false" ht="27.75" hidden="false" customHeight="true" outlineLevel="0" collapsed="false">
      <c r="A1" s="158"/>
      <c r="B1" s="158"/>
      <c r="C1" s="159"/>
      <c r="D1" s="159"/>
      <c r="E1" s="159"/>
      <c r="F1" s="159"/>
      <c r="G1" s="159"/>
      <c r="H1" s="159"/>
      <c r="I1" s="159"/>
      <c r="J1" s="159"/>
      <c r="K1" s="158"/>
      <c r="L1" s="160" t="s">
        <v>248</v>
      </c>
      <c r="M1" s="161"/>
      <c r="N1" s="161"/>
      <c r="O1" s="161"/>
      <c r="P1" s="161"/>
      <c r="Q1" s="161"/>
      <c r="R1" s="161"/>
      <c r="S1" s="161"/>
      <c r="T1" s="161"/>
    </row>
    <row r="2" customFormat="false" ht="32.25" hidden="false" customHeight="true" outlineLevel="0" collapsed="false">
      <c r="A2" s="158"/>
      <c r="B2" s="162" t="s">
        <v>249</v>
      </c>
      <c r="C2" s="162"/>
      <c r="D2" s="162"/>
      <c r="E2" s="162"/>
      <c r="F2" s="162"/>
      <c r="G2" s="162"/>
      <c r="H2" s="162"/>
      <c r="I2" s="162"/>
      <c r="J2" s="162"/>
      <c r="K2" s="158"/>
      <c r="L2" s="158"/>
      <c r="M2" s="158"/>
      <c r="N2" s="158"/>
      <c r="O2" s="158"/>
      <c r="P2" s="158"/>
    </row>
    <row r="3" customFormat="false" ht="12.75" hidden="false" customHeight="false" outlineLevel="0" collapsed="false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M3" s="158"/>
      <c r="N3" s="158"/>
      <c r="O3" s="158"/>
      <c r="P3" s="158"/>
    </row>
    <row r="4" customFormat="false" ht="12.75" hidden="false" customHeight="false" outlineLevel="0" collapsed="false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customFormat="false" ht="85.5" hidden="false" customHeight="false" outlineLevel="0" collapsed="false">
      <c r="A5" s="163" t="s">
        <v>250</v>
      </c>
      <c r="B5" s="164" t="s">
        <v>251</v>
      </c>
      <c r="C5" s="164" t="s">
        <v>252</v>
      </c>
      <c r="D5" s="164" t="s">
        <v>253</v>
      </c>
      <c r="E5" s="164" t="s">
        <v>254</v>
      </c>
      <c r="F5" s="164" t="s">
        <v>255</v>
      </c>
      <c r="G5" s="164" t="s">
        <v>256</v>
      </c>
      <c r="H5" s="164" t="s">
        <v>257</v>
      </c>
      <c r="I5" s="164" t="s">
        <v>258</v>
      </c>
      <c r="J5" s="164" t="s">
        <v>259</v>
      </c>
      <c r="K5" s="164" t="s">
        <v>260</v>
      </c>
      <c r="L5" s="165" t="s">
        <v>261</v>
      </c>
      <c r="M5" s="158"/>
      <c r="N5" s="158"/>
      <c r="O5" s="158"/>
      <c r="P5" s="158"/>
    </row>
    <row r="6" customFormat="false" ht="14.25" hidden="false" customHeight="false" outlineLevel="0" collapsed="false">
      <c r="A6" s="166" t="s">
        <v>262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8"/>
      <c r="M6" s="158"/>
      <c r="N6" s="158"/>
      <c r="O6" s="158"/>
      <c r="P6" s="158"/>
    </row>
    <row r="7" customFormat="false" ht="14.25" hidden="false" customHeight="false" outlineLevel="0" collapsed="false">
      <c r="A7" s="169" t="s">
        <v>263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1"/>
      <c r="M7" s="158"/>
      <c r="N7" s="158"/>
      <c r="O7" s="158"/>
      <c r="P7" s="158"/>
    </row>
    <row r="8" customFormat="false" ht="14.25" hidden="false" customHeight="false" outlineLevel="0" collapsed="false">
      <c r="A8" s="169" t="s">
        <v>264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158"/>
      <c r="N8" s="158"/>
      <c r="O8" s="158"/>
      <c r="P8" s="158"/>
    </row>
    <row r="9" customFormat="false" ht="14.25" hidden="false" customHeight="false" outlineLevel="0" collapsed="false">
      <c r="A9" s="169" t="s">
        <v>265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1"/>
      <c r="M9" s="158"/>
      <c r="N9" s="158"/>
      <c r="O9" s="158"/>
      <c r="P9" s="158"/>
    </row>
    <row r="10" customFormat="false" ht="14.25" hidden="false" customHeight="false" outlineLevel="0" collapsed="false">
      <c r="A10" s="169" t="s">
        <v>266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1"/>
      <c r="M10" s="158"/>
      <c r="N10" s="158"/>
      <c r="O10" s="158"/>
      <c r="P10" s="158"/>
    </row>
    <row r="11" customFormat="false" ht="14.25" hidden="false" customHeight="false" outlineLevel="0" collapsed="false">
      <c r="A11" s="169" t="s">
        <v>267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1"/>
      <c r="M11" s="158"/>
      <c r="N11" s="158"/>
      <c r="O11" s="158"/>
      <c r="P11" s="158"/>
    </row>
    <row r="12" customFormat="false" ht="12.75" hidden="false" customHeight="false" outlineLevel="0" collapsed="false">
      <c r="A12" s="172"/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4"/>
      <c r="M12" s="158"/>
      <c r="N12" s="158"/>
      <c r="O12" s="158"/>
      <c r="P12" s="158"/>
    </row>
    <row r="13" customFormat="false" ht="12.75" hidden="false" customHeight="false" outlineLevel="0" collapsed="false">
      <c r="A13" s="175"/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7"/>
      <c r="M13" s="158"/>
      <c r="N13" s="158"/>
      <c r="O13" s="158"/>
      <c r="P13" s="158"/>
    </row>
    <row r="14" customFormat="false" ht="12.75" hidden="false" customHeight="false" outlineLevel="0" collapsed="false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</row>
    <row r="15" customFormat="false" ht="12.75" hidden="false" customHeight="false" outlineLevel="0" collapsed="false">
      <c r="A15" s="158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</row>
    <row r="16" customFormat="false" ht="12.75" hidden="false" customHeight="false" outlineLevel="0" collapsed="false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</row>
    <row r="17" customFormat="false" ht="12.75" hidden="false" customHeight="false" outlineLevel="0" collapsed="false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</row>
    <row r="18" customFormat="false" ht="12.75" hidden="false" customHeight="false" outlineLevel="0" collapsed="false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</row>
  </sheetData>
  <mergeCells count="2">
    <mergeCell ref="C1:J1"/>
    <mergeCell ref="B2:J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77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156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2023-04-10T13:56:28Z</dcterms:modified>
  <cp:revision>64</cp:revision>
  <dc:subject/>
  <dc:title/>
</cp:coreProperties>
</file>