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П КК_2024-2028" sheetId="1" state="visible" r:id="rId3"/>
  </sheets>
  <definedNames>
    <definedName function="false" hidden="false" localSheetId="0" name="_xlnm.Print_Area" vbProcedure="false">'ИП КК_2024-2028'!$A$1:$AU$134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<sst xmlns="http://schemas.openxmlformats.org/spreadsheetml/2006/main" count="1865" uniqueCount="588">
  <si>
    <t xml:space="preserve">Приложение к постановлению  Правительства Камчатского края
от _______________ № ___________</t>
  </si>
  <si>
    <t xml:space="preserve">"Приложение к постановлению  Правительства Камчатского края
от 23.11.2023 № 585-П</t>
  </si>
  <si>
    <t xml:space="preserve">Инвестиционная программа Камчатского края на 2024 год и на плановый период 2025–2026 годов и прогнозный период 2027–2028 годов</t>
  </si>
  <si>
    <t xml:space="preserve">№ п/п</t>
  </si>
  <si>
    <t xml:space="preserve">Наименование государственной программы Камчатского края</t>
  </si>
  <si>
    <t xml:space="preserve">Главный распорядитель бюджетных средств</t>
  </si>
  <si>
    <t xml:space="preserve">Наименование мероприятия</t>
  </si>
  <si>
    <t xml:space="preserve">Наименование муниципального образования 
на территории которого расположен объект Инвестиционной программы 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</si>
  <si>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</si>
  <si>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</si>
  <si>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в эксплуатацию 
и/или нормативный срок реализации объекта Инвестиционной программы, 
год</t>
  </si>
  <si>
    <t xml:space="preserve">Срок подготовки проектной документации, 
год</t>
  </si>
  <si>
    <t xml:space="preserve">Способ финансового обеспечения осуществления капитальных вложений</t>
  </si>
  <si>
    <t xml:space="preserve">Мощность </t>
  </si>
  <si>
    <t xml:space="preserve">Получатель средств краевого бюджета</t>
  </si>
  <si>
    <t xml:space="preserve">Ответственный исполнитель 
государственной программы 
Камчатского края</t>
  </si>
  <si>
    <t xml:space="preserve">Государственный (муниципальный) заказчик Камчатского  края</t>
  </si>
  <si>
    <t xml:space="preserve"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</si>
  <si>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</t>
  </si>
  <si>
    <t xml:space="preserve">Форма 
собственности</t>
  </si>
  <si>
    <t xml:space="preserve">Статус </t>
  </si>
  <si>
    <t xml:space="preserve">Наличие проектной документации </t>
  </si>
  <si>
    <t xml:space="preserve">Всего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</si>
  <si>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</si>
  <si>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</si>
  <si>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</si>
  <si>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</si>
  <si>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</si>
  <si>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</si>
  <si>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</si>
  <si>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</si>
  <si>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</si>
  <si>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</si>
  <si>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</si>
  <si>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</si>
  <si>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</si>
  <si>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</si>
  <si>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</si>
  <si>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район  </t>
  </si>
  <si>
    <t xml:space="preserve">Модернизация первичного звена здравоохранения Камчатского края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</si>
  <si>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</si>
  <si>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2500 кв.м</t>
  </si>
  <si>
    <t xml:space="preserve">КГКУ "Служба заказчика Министерства строительства и жилищной политики Камчатского края" </t>
  </si>
  <si>
    <t xml:space="preserve">Министерство здравоохранения Камчатского края</t>
  </si>
  <si>
    <t xml:space="preserve">государственная Камчатского края</t>
  </si>
  <si>
    <t xml:space="preserve">вновь начинаемый</t>
  </si>
  <si>
    <t xml:space="preserve">2.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</si>
  <si>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</si>
  <si>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</si>
  <si>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2 744,0 кв.м; 
60 посещений/смену;
30 койко-мест</t>
  </si>
  <si>
    <t xml:space="preserve">1 083 014,15000 
тыс. рублей</t>
  </si>
  <si>
    <t xml:space="preserve">от 07.12.2023
№ 41-1-1-3-074829-2023</t>
  </si>
  <si>
    <t xml:space="preserve">3.</t>
  </si>
  <si>
    <t xml:space="preserve"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</t>
  </si>
  <si>
    <t xml:space="preserve">Пенжинский муниципальный район  </t>
  </si>
  <si>
    <t xml:space="preserve">Модернизация первичного звена здравоохранения Российской Федерации</t>
  </si>
  <si>
    <t xml:space="preserve">347,4 кв.м/ 50 посещений в смену </t>
  </si>
  <si>
    <t xml:space="preserve">КГКУ "Служба заказчика Министерства строительства и жилищной политики Камчатского края"</t>
  </si>
  <si>
    <t xml:space="preserve">4.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</si>
  <si>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</si>
  <si>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</si>
  <si>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2023 год</t>
  </si>
  <si>
    <t xml:space="preserve">347,4 кв.м</t>
  </si>
  <si>
    <t xml:space="preserve">КГКУ "Единая дирекция по строительству объекта "Камчатская краевая больница"</t>
  </si>
  <si>
    <t xml:space="preserve">5.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</si>
  <si>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</si>
  <si>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</si>
  <si>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2023-2024 года</t>
  </si>
  <si>
    <t xml:space="preserve">182,4 кв.м</t>
  </si>
  <si>
    <t xml:space="preserve">6.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</si>
  <si>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</si>
  <si>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разработка проектной документации</t>
  </si>
  <si>
    <t xml:space="preserve">7.</t>
  </si>
  <si>
    <t xml:space="preserve">Фельдшерско-акушерский пункт. Камчатский край, Елизовский муниципальный район, п. Термальный. Государственное бюджетное учреждение здравоохранения Камчатского края "Елизовская районная больница"</t>
  </si>
  <si>
    <t xml:space="preserve">Елизовский муниципальный район</t>
  </si>
  <si>
    <t xml:space="preserve">субсидии на приобретение объектов недвижимого имущества в государственную (муниципальную) собственность бюджетным учреждениям</t>
  </si>
  <si>
    <t xml:space="preserve">20 посещений в смену </t>
  </si>
  <si>
    <t xml:space="preserve">ГБУЗ КК "Елизовская районная больница"</t>
  </si>
  <si>
    <t xml:space="preserve">19 834,98000 
тыс. рублей</t>
  </si>
  <si>
    <t xml:space="preserve">приобретение</t>
  </si>
  <si>
    <t xml:space="preserve">8.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</si>
  <si>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</si>
  <si>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</si>
  <si>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2 500 кв.м</t>
  </si>
  <si>
    <t xml:space="preserve">9.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</si>
  <si>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</si>
  <si>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</si>
  <si>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10.</t>
  </si>
  <si>
    <t xml:space="preserve">Корпус детской краевой больницы (проектные работы)</t>
  </si>
  <si>
    <t xml:space="preserve">Инвестиционные мероприятия в здравоохранении Камчатского края</t>
  </si>
  <si>
    <t xml:space="preserve">26000 кв.м</t>
  </si>
  <si>
    <t xml:space="preserve">11.</t>
  </si>
  <si>
    <t xml:space="preserve">«Строительство Камчатской краевой больницы» 1 этап</t>
  </si>
  <si>
    <t xml:space="preserve">Елизовский муниципальный район  </t>
  </si>
  <si>
    <t xml:space="preserve">175 койко-мест</t>
  </si>
  <si>
    <t xml:space="preserve">13 957 945,24000 
тыс. рублей</t>
  </si>
  <si>
    <t xml:space="preserve">переходящий</t>
  </si>
  <si>
    <t xml:space="preserve">от 11.12.2023
№ 41-1-1-3-075946-2023</t>
  </si>
  <si>
    <t xml:space="preserve">12.</t>
  </si>
  <si>
    <t xml:space="preserve">Корректировка проектной документации по объекту "Строительство Камчатской краевой больницы"</t>
  </si>
  <si>
    <t xml:space="preserve">450 коек</t>
  </si>
  <si>
    <t xml:space="preserve">15 196 053,00000 
тыс. рублей</t>
  </si>
  <si>
    <t xml:space="preserve"> от 29.01.2018  
№ 41-1-1-2-0003-18; 
от 10.08.2018  
№ 41-1-0155-18; 
от 21.03.2023 
№ 41-1-1-2-013497-2023</t>
  </si>
  <si>
    <t xml:space="preserve">13.</t>
  </si>
  <si>
    <t xml:space="preserve">Никольская районная больница. Государственное бюджетное учреждение здравоохранения Камчатского края "Никольская районная больница"</t>
  </si>
  <si>
    <t xml:space="preserve">Алеутский муниципальный округ</t>
  </si>
  <si>
    <t xml:space="preserve">900 кв.м </t>
  </si>
  <si>
    <t xml:space="preserve">14.</t>
  </si>
  <si>
    <t xml:space="preserve">Отделение общей врачебной практики (семейной медицины). Камчатский край, Тигильский муниципальный район, с. Седанка</t>
  </si>
  <si>
    <t xml:space="preserve">15.</t>
  </si>
  <si>
    <t xml:space="preserve">Фельдшерско-акушерский пункт. Камчатский край, Пенжинский муниципальный район, с. Аянка</t>
  </si>
  <si>
    <t xml:space="preserve">Пенжинский муниципальный район, сельское поселение "село Аянка"</t>
  </si>
  <si>
    <t xml:space="preserve">147 213,90000 
тыс. рублей</t>
  </si>
  <si>
    <t xml:space="preserve">от 16.03.2023 
№ 41-1-1-3-012361-2023</t>
  </si>
  <si>
    <t xml:space="preserve">16.</t>
  </si>
  <si>
    <t xml:space="preserve">Фельдшерско-акушерский пункт. Камчатский край, Пенжинский муниципальный район, с. Слаутное</t>
  </si>
  <si>
    <t xml:space="preserve">Пенжинский муниципальный район, сельское поселение "село Слаутное"</t>
  </si>
  <si>
    <t xml:space="preserve">129 282,27000 
тыс. рублей</t>
  </si>
  <si>
    <t xml:space="preserve">от 28.12.2022 
№ 41-1-1-3-093589-2022; от 16.03.2023 
№ 41-1-1-3-012361-2023</t>
  </si>
  <si>
    <t xml:space="preserve">17.</t>
  </si>
  <si>
    <t xml:space="preserve">Государственная программа Камчатского края  "Развитие образования в Камчатском крае"</t>
  </si>
  <si>
    <t xml:space="preserve">Здание. Учебный корпус МБОУ "Средняя школа № 40 по ул. Вольского микрорайона "Северо-Восток" в г. Петропавловске — Камчатском</t>
  </si>
  <si>
    <t xml:space="preserve">Петропавловск-Камчатский городской округ</t>
  </si>
  <si>
    <t xml:space="preserve">Современная школа</t>
  </si>
  <si>
    <t xml:space="preserve">9096,5 кв. м; 
500 мест</t>
  </si>
  <si>
    <t xml:space="preserve">Министерство образования Камчатского края</t>
  </si>
  <si>
    <t xml:space="preserve">1 426 222,02000 
тыс. рублей</t>
  </si>
  <si>
    <t xml:space="preserve">от 08.02.2023
№ 41-1-1-2-005350-2023</t>
  </si>
  <si>
    <t xml:space="preserve">18.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</si>
  <si>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центра)(в том числе проектные работы)</t>
  </si>
  <si>
    <t xml:space="preserve">Завершение строительства ДОЛ им. Гагарина</t>
  </si>
  <si>
    <t xml:space="preserve">159 спальных мест</t>
  </si>
  <si>
    <t xml:space="preserve">19.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</si>
  <si>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</si>
  <si>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510 943,51000 
тыс. рублей</t>
  </si>
  <si>
    <t xml:space="preserve">от 22.04.2024
№ 41-1-1-3-018977-2024</t>
  </si>
  <si>
    <t xml:space="preserve">20.</t>
  </si>
  <si>
    <t xml:space="preserve">Государственная программа Камчатского края "Развитие культуры в Камчатском крае"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</si>
  <si>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</si>
  <si>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</si>
  <si>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</si>
  <si>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человек, 
2554,5 кв.м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</si>
  <si>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</si>
  <si>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</si>
  <si>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</t>
  </si>
  <si>
    <t xml:space="preserve">21.</t>
  </si>
  <si>
    <t xml:space="preserve">Камчатский театр кукол г. Петропавловск-Камчатский</t>
  </si>
  <si>
    <t xml:space="preserve">350 мест / 9356,2 кв.м</t>
  </si>
  <si>
    <t xml:space="preserve">1 324 170,00000 
тыс. рублей</t>
  </si>
  <si>
    <t xml:space="preserve">от 25.09.2013 
№ 41-1-4-0085-13, 
от 26.09.2013 
№ 41-1-6-0086-13</t>
  </si>
  <si>
    <t xml:space="preserve">22.</t>
  </si>
  <si>
    <t xml:space="preserve"> Сохранение объекта культурного наследия регионального значения "Дом № 13 по ул. Красинцев в г. Петропавловске-Камчатском"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</si>
  <si>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</si>
  <si>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546,9 кв.м (площадь здания)</t>
  </si>
  <si>
    <t xml:space="preserve"> Петропавловск-Камчатский городской округ</t>
  </si>
  <si>
    <t xml:space="preserve">Администрация Петропавловск-Камчатского городского округа</t>
  </si>
  <si>
    <t xml:space="preserve">116 645,29293 
тыс. рублей</t>
  </si>
  <si>
    <t xml:space="preserve">муниципальная</t>
  </si>
  <si>
    <t xml:space="preserve">от 24.11.2021 
№ 41-1-1-3-069533-2021 </t>
  </si>
  <si>
    <t xml:space="preserve">23.</t>
  </si>
  <si>
    <t xml:space="preserve">Государственная программа Камчатского края "Социальная поддержка граждан в Камчатском крае"</t>
  </si>
  <si>
    <t xml:space="preserve">Дом-интернат для граждан пожилого возраста. По адресу: г. Петропавловск-Камчатский, ул. Пограничная</t>
  </si>
  <si>
    <t xml:space="preserve">Петропавловск-Камчатский городской округ </t>
  </si>
  <si>
    <t xml:space="preserve">Разработка и реализация программы системной поддержки и повышения качества жизни граждан старшего поколения</t>
  </si>
  <si>
    <t xml:space="preserve">2023-2024 годы 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</si>
  <si>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</si>
  <si>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</si>
  <si>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
тыс. рублей</t>
  </si>
  <si>
    <t xml:space="preserve">24.</t>
  </si>
  <si>
    <t xml:space="preserve">Дом-интернат для психически больных на 400 мест (разработка проектной документации)</t>
  </si>
  <si>
    <t xml:space="preserve">Развитие инфраструктуры организаций социального обслуживания</t>
  </si>
  <si>
    <t xml:space="preserve">400 мест</t>
  </si>
  <si>
    <t xml:space="preserve">11 157 783,44000  
тыс. рублей</t>
  </si>
  <si>
    <t xml:space="preserve">25.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</si>
  <si>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</si>
  <si>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</si>
  <si>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Объекты недвижимого имущества, расположенные в г. Петропавловске-Камчатском, ул. Автомобилистов, д. 55 в границах земельного участка с кадастровым номером 41:01:0010118:12616; здание Теннисного центра с кадастровым номером 41:01:0010118:9055; здание вспомогательных помещений к теннисному центру с кадастровым номером 41:01:0010118:14661; теннисный корт с кадастровым номером 41:01:0010118:14814; ограждение с кадастровым номером 41:01:0010118:14815 и земельный участок с кадастровым номером 41:01:0010118:12616</t>
  </si>
  <si>
    <t xml:space="preserve">Спорт-норма жизни</t>
  </si>
  <si>
    <t xml:space="preserve">60 чел.</t>
  </si>
  <si>
    <t xml:space="preserve">Краевое государственное бюджетное учреждение дополнительного образования "Cпортивная школа олимпийского резерва единоборств"</t>
  </si>
  <si>
    <t xml:space="preserve">Министерство спорта Камчатского края </t>
  </si>
  <si>
    <t xml:space="preserve">192 040,00000 
тыс. рублей</t>
  </si>
  <si>
    <t xml:space="preserve">26.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</si>
  <si>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</si>
  <si>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</si>
  <si>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</si>
  <si>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</si>
  <si>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
14228,5 кв. м</t>
  </si>
  <si>
    <t xml:space="preserve">Министерство строительства и жилищной политики Камчатского края </t>
  </si>
  <si>
    <t xml:space="preserve">1 222 460,02000 
тыс. рублей</t>
  </si>
  <si>
    <t xml:space="preserve">от 13.05.2016 
№ 1-1-6-0011-16; 
от 14.03.2016  
№ 41-1-3-0009-16</t>
  </si>
  <si>
    <t xml:space="preserve">27.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</si>
  <si>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</si>
  <si>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Обеспечение устойчивого  сокращения непригодного для проживания жилищного фонда</t>
  </si>
  <si>
    <t xml:space="preserve">Администрация Алеутского муниципального округа</t>
  </si>
  <si>
    <t xml:space="preserve">28.</t>
  </si>
  <si>
    <t xml:space="preserve">Елизовский муниципальный район, 
Елизовское городское поселение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</si>
  <si>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</si>
  <si>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</si>
  <si>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29.</t>
  </si>
  <si>
    <t xml:space="preserve">Елизовский муниципальный район, 
Раздольненское сельское поселение</t>
  </si>
  <si>
    <t xml:space="preserve">Раздольненское сельское поселение</t>
  </si>
  <si>
    <t xml:space="preserve">Администрация Раздольненского сельского поселения</t>
  </si>
  <si>
    <t xml:space="preserve">30.</t>
  </si>
  <si>
    <t xml:space="preserve">Мильковский муниципальный округ</t>
  </si>
  <si>
    <t xml:space="preserve">Администрация Мильковского муниципального округа</t>
  </si>
  <si>
    <t xml:space="preserve">31.</t>
  </si>
  <si>
    <t xml:space="preserve">32.</t>
  </si>
  <si>
    <t xml:space="preserve">Усть-Камчатский муниципальный округ, поселок Усть-Камчатск</t>
  </si>
  <si>
    <t xml:space="preserve">Усть-Камчатский муниципальный район</t>
  </si>
  <si>
    <t xml:space="preserve">Администрация Усть-Камчатского муниципального округа</t>
  </si>
  <si>
    <t xml:space="preserve">33.</t>
  </si>
  <si>
    <t xml:space="preserve">Олюторский муниципальный район, сельское поселение "село Вывенка"</t>
  </si>
  <si>
    <t xml:space="preserve">сельское поселение "село Вывенка"</t>
  </si>
  <si>
    <t xml:space="preserve">Администрация сельского поселения "село Вывенка"</t>
  </si>
  <si>
    <t xml:space="preserve">34.</t>
  </si>
  <si>
    <t xml:space="preserve">Олюторский муниципальный район, сельское поселение "село Средние Пахачи"</t>
  </si>
  <si>
    <t xml:space="preserve">сельское поселение "село Средние Пахачи"</t>
  </si>
  <si>
    <t xml:space="preserve">Администрация сельского поселения "село Средние Пахачи"</t>
  </si>
  <si>
    <t xml:space="preserve">35.</t>
  </si>
  <si>
    <t xml:space="preserve">Пенжинский муниципальный район, сельское поселение "село Таловка"</t>
  </si>
  <si>
    <t xml:space="preserve">сельское поселение "село Таловка"</t>
  </si>
  <si>
    <t xml:space="preserve">Администрация сельского поселения "село Таловка"</t>
  </si>
  <si>
    <t xml:space="preserve">36.</t>
  </si>
  <si>
    <t xml:space="preserve">Тигильский муниципальный округ, село Ковран</t>
  </si>
  <si>
    <t xml:space="preserve">Тигильский муниципальный район</t>
  </si>
  <si>
    <t xml:space="preserve">Администрация Тигильского муниципального округа</t>
  </si>
  <si>
    <t xml:space="preserve">37.</t>
  </si>
  <si>
    <t xml:space="preserve">Тигильский муниципальный округ, село Седанка</t>
  </si>
  <si>
    <t xml:space="preserve">38.</t>
  </si>
  <si>
    <t xml:space="preserve">Тигильский муниципальный округ, село Усть-Хайрюзово</t>
  </si>
  <si>
    <t xml:space="preserve">39.</t>
  </si>
  <si>
    <t xml:space="preserve">Тигильский муниципальный округ, село Хайрюзово</t>
  </si>
  <si>
    <t xml:space="preserve">40.</t>
  </si>
  <si>
    <t xml:space="preserve">Тигильский муниципальный округ, село Тигиль</t>
  </si>
  <si>
    <t xml:space="preserve">41.</t>
  </si>
  <si>
    <t xml:space="preserve">Усть-Камчатский муниципальный округ, поселок Ключи</t>
  </si>
  <si>
    <t xml:space="preserve">муниципальное</t>
  </si>
  <si>
    <t xml:space="preserve">42.</t>
  </si>
  <si>
    <t xml:space="preserve">Администрация Вилючинского городского округа</t>
  </si>
  <si>
    <t xml:space="preserve">43.</t>
  </si>
  <si>
    <t xml:space="preserve">Министерство имущественных и земельных отношений Камчатского края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</si>
  <si>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договору социального найма"</t>
  </si>
  <si>
    <t xml:space="preserve">Петропавловск-Камчатский городской округ; Елизовский муниципальный район</t>
  </si>
  <si>
    <t xml:space="preserve">Обеспечение жилыми помещениями отдельных категорий граждан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</si>
  <si>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</si>
  <si>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44.</t>
  </si>
  <si>
    <t xml:space="preserve">Многоквартирный жилой дом в районе ул. Жупановская в г. Елизово Камчатского края (разработка проектной документации)</t>
  </si>
  <si>
    <t xml:space="preserve">Стимулирование развития жилищного строительства</t>
  </si>
  <si>
    <t xml:space="preserve">45.</t>
  </si>
  <si>
    <t xml:space="preserve">Переселение граждан из аварийного жилищного фонда в соответствии с жилищным законодательством</t>
  </si>
  <si>
    <t xml:space="preserve">46.</t>
  </si>
  <si>
    <t xml:space="preserve">Государственная программа Камчатского края «Обеспечение доступным и комфортным жильем жителей Камчатского края»</t>
  </si>
  <si>
    <t xml:space="preserve">Приобретение жилых помещений в целях формирования специализированного жилищного фонда Камчатского края</t>
  </si>
  <si>
    <t xml:space="preserve">12 500,00000
тыс. рублей</t>
  </si>
  <si>
    <t xml:space="preserve"> государственная  Камчатского края</t>
  </si>
  <si>
    <t xml:space="preserve">47.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</si>
  <si>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</si>
  <si>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</si>
  <si>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</si>
  <si>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1 этап – 450 м.куб./сут.
2 этап – 300 м.куб./сут.</t>
  </si>
  <si>
    <t xml:space="preserve">Министерство ЖКХ и энергетики Камчатского края</t>
  </si>
  <si>
    <t xml:space="preserve">941 208,35000 
тыс. рублей</t>
  </si>
  <si>
    <t xml:space="preserve">от 07.12.2023 
№ 41-1-1-3-074807-2023</t>
  </si>
  <si>
    <t xml:space="preserve">48.</t>
  </si>
  <si>
    <t xml:space="preserve">Министерство жилищно-коммунального хозяйства и энергетики Камчатского края</t>
  </si>
  <si>
    <t xml:space="preserve">Строительство КНС "Сероглазка" производительностью 16500 м.куб./сут., строительство напорных коллекторов от КНС "Сероглазка" до КОС "Чавыча" 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</si>
  <si>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</si>
  <si>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 16500 м.куб./сут.</t>
  </si>
  <si>
    <t xml:space="preserve">Министерство ЖКХ и энергетики Камчатского края </t>
  </si>
  <si>
    <t xml:space="preserve">КГУП "Камчатский водоканал"</t>
  </si>
  <si>
    <t xml:space="preserve">958785,41000 
тыс. рублей</t>
  </si>
  <si>
    <t xml:space="preserve">от 03.10.2023 
№ 41-1-1-3-059236-2023 </t>
  </si>
  <si>
    <t xml:space="preserve">49.</t>
  </si>
  <si>
    <t xml:space="preserve">Строительство КНС "Рыбный порт" производительностью 600 м.куб./сут. строительство напорных коллекторов от КНС "Рыбный порт" до КНС "Драмтеатр"</t>
  </si>
  <si>
    <t xml:space="preserve"> 600 м.куб./сут.</t>
  </si>
  <si>
    <t xml:space="preserve">270 701,00000 
тыс. рублей</t>
  </si>
  <si>
    <t xml:space="preserve">50.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</si>
  <si>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 (проектные работы)</t>
  </si>
  <si>
    <t xml:space="preserve"> 1000 м.куб./сут.</t>
  </si>
  <si>
    <t xml:space="preserve">295 690,00000 
тыс. рублей</t>
  </si>
  <si>
    <t xml:space="preserve">51.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</si>
  <si>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</t>
  </si>
  <si>
    <t xml:space="preserve">52.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</si>
  <si>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</t>
  </si>
  <si>
    <t xml:space="preserve"> 150 м.куб./сут.</t>
  </si>
  <si>
    <t xml:space="preserve">58 590,00000 
тыс. рублей</t>
  </si>
  <si>
    <t xml:space="preserve">53.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</si>
  <si>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</si>
  <si>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38000 м.куб./сут.</t>
  </si>
  <si>
    <t xml:space="preserve">2 450 000,00000 
тыс. рублей</t>
  </si>
  <si>
    <t xml:space="preserve">переходящий (разработка проектной документации)</t>
  </si>
  <si>
    <t xml:space="preserve">54.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</si>
  <si>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</si>
  <si>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м.куб./сут.</t>
  </si>
  <si>
    <t xml:space="preserve">МКУ "Управление капитального строительства и ремонта"</t>
  </si>
  <si>
    <t xml:space="preserve">207 756,05728 
тыс. рублей</t>
  </si>
  <si>
    <t xml:space="preserve">от 12.04.2023 
№ 41-1-1-2-018415-2023 </t>
  </si>
  <si>
    <t xml:space="preserve">55.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</si>
  <si>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</si>
  <si>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11500 м.куб./сут.</t>
  </si>
  <si>
    <t xml:space="preserve">319 763,60000 
тыс. рублей</t>
  </si>
  <si>
    <t xml:space="preserve">от 15.06.2022 
№ 41-1-1-2-037934-2022 </t>
  </si>
  <si>
    <t xml:space="preserve">56.</t>
  </si>
  <si>
    <t xml:space="preserve">Строительство КНС "Рыбный порт" производительностью 600 м.куб./сут., строительство напорных коллекторов от КНС "Рыбный порт" до КНС "Драмтеатр" (разработка проектной документации)</t>
  </si>
  <si>
    <t xml:space="preserve">57.</t>
  </si>
  <si>
    <t xml:space="preserve">Участок трубопровода системы водоотведения от камеры ул. Ленинградская,13 до самотечного коллектора ул. Ленинградская, 1 (проектные работы)</t>
  </si>
  <si>
    <t xml:space="preserve">250 п.м.</t>
  </si>
  <si>
    <t xml:space="preserve">58.</t>
  </si>
  <si>
    <t xml:space="preserve">Доработка проектной и рабочей документации по объекту реконструкции: "Насосная станция второго подъема и закрытое распределительное устройство (ЗРУ-6 кВ) "Авачинского водозабора"</t>
  </si>
  <si>
    <t xml:space="preserve">Елизовский муниципальный район, Елизовское городское поселение</t>
  </si>
  <si>
    <t xml:space="preserve">5800 м.куб/час</t>
  </si>
  <si>
    <t xml:space="preserve">782 665,91000 
тыс. рублей</t>
  </si>
  <si>
    <t xml:space="preserve">переходящий (СМР)</t>
  </si>
  <si>
    <t xml:space="preserve">от 10.12.2020 
№ 41-1-1-2-063188-2020 </t>
  </si>
  <si>
    <t xml:space="preserve">59.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</si>
  <si>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</si>
  <si>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3500 м.куб./сут.</t>
  </si>
  <si>
    <t xml:space="preserve">372 364,00000 
тыс. рублей</t>
  </si>
  <si>
    <t xml:space="preserve">60.</t>
  </si>
  <si>
    <t xml:space="preserve">Строительство КНС -1/1Е, со строительством сетей водоотведения по ул. Береговой, Октябрьской, Мирная</t>
  </si>
  <si>
    <t xml:space="preserve">61.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</si>
  <si>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</si>
  <si>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175 100,00000 
тыс. рублей</t>
  </si>
  <si>
    <t xml:space="preserve">62.</t>
  </si>
  <si>
    <t xml:space="preserve">Строительство КНС "Заречная" производительностью 3500 м3/сутки со строительством напорных коллекторов Д-200</t>
  </si>
  <si>
    <t xml:space="preserve">63.</t>
  </si>
  <si>
    <t xml:space="preserve">Реконструкция КОС-29 км (район "Аэропорт") (проектные работы)</t>
  </si>
  <si>
    <t xml:space="preserve">10 000 м.куб./сут.</t>
  </si>
  <si>
    <t xml:space="preserve">2 177,40000 
тыс. рублей</t>
  </si>
  <si>
    <t xml:space="preserve">64.</t>
  </si>
  <si>
    <t xml:space="preserve">Строительство КНС-9Е. Строительство напорного коллектора в 2 ветки через реку Авача от КНС-9Е до КОС-29 (проектные работы)</t>
  </si>
  <si>
    <t xml:space="preserve">8000 м.куб/сут</t>
  </si>
  <si>
    <t xml:space="preserve">495 000,00000 
тыс. рублей</t>
  </si>
  <si>
    <t xml:space="preserve">65.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</si>
  <si>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</si>
  <si>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8000 м.куб./сут.</t>
  </si>
  <si>
    <t xml:space="preserve">813 263,69000 
тыс. рублей</t>
  </si>
  <si>
    <t xml:space="preserve">от 18.03.2024
41-1-1-3-011418-2024</t>
  </si>
  <si>
    <t xml:space="preserve">66.</t>
  </si>
  <si>
    <t xml:space="preserve">Реконструкция сетей водоснабжения с. Крутоберегово Усть-Камчатского сельского поселения Усть-Камчатского муниципального района</t>
  </si>
  <si>
    <t xml:space="preserve">4298,5 м</t>
  </si>
  <si>
    <t xml:space="preserve">45 380,00000 
тыс. рублей</t>
  </si>
  <si>
    <t xml:space="preserve">от 30.08.2021 
№ 41-1-1-2-049111-2021</t>
  </si>
  <si>
    <t xml:space="preserve">67.</t>
  </si>
  <si>
    <t xml:space="preserve">Реконструкция самотечного главного коллектора от 8 км (камеры на перекрестке дорог Молчанова - Кавказская) до приемной камеры очистных сооружений "Чавыча" (проектные работы)</t>
  </si>
  <si>
    <t xml:space="preserve">1200 п.м.</t>
  </si>
  <si>
    <t xml:space="preserve">19795,58150 
тыс. рублей</t>
  </si>
  <si>
    <t xml:space="preserve">разработка проектной документация</t>
  </si>
  <si>
    <t xml:space="preserve">68.</t>
  </si>
  <si>
    <t xml:space="preserve">Строительство котельной на газовом топливе (резервное дизельное топливо) для теплоснабжения микрорайона "Северный", а также жилого комплекса по ул. Тушканова Петропавловск-Камчатского городского округа</t>
  </si>
  <si>
    <t xml:space="preserve">Обеспечение модернизации, реконструкции и строительства объектов систем энерго-, теплоснабжения</t>
  </si>
  <si>
    <t xml:space="preserve">бюджетные инвестиции иным юридическим лицам в объекты капитального строительства</t>
  </si>
  <si>
    <t xml:space="preserve">40 тыс. кВт*ч</t>
  </si>
  <si>
    <t xml:space="preserve">АО "Каминжиниринг"</t>
  </si>
  <si>
    <t xml:space="preserve">1 765 410,02000 
тыс. рублей</t>
  </si>
  <si>
    <t xml:space="preserve">обособленное имущество юридического лица</t>
  </si>
  <si>
    <t xml:space="preserve">от 31.01.2024 
№ 41-1-1-3-003384-2024</t>
  </si>
  <si>
    <t xml:space="preserve">69.</t>
  </si>
  <si>
    <t xml:space="preserve">Реконструкция сетей теплоснабжения в пгт. Палана, Тигильского района, Камчатского края (проектные работы)</t>
  </si>
  <si>
    <t xml:space="preserve">Городской округ "поселок Палана"</t>
  </si>
  <si>
    <t xml:space="preserve">Администрация городского округа "поселок Палана"</t>
  </si>
  <si>
    <t xml:space="preserve">70.</t>
  </si>
  <si>
    <t xml:space="preserve">Реконструкция котельной № 20 (ул. Деркачева) с передачей нагрузок котельной № 10 с учетом реконструкции тепловых сетей котельных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</si>
  <si>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</si>
  <si>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15,3 Гкал/ч</t>
  </si>
  <si>
    <t xml:space="preserve">483 351,57000
 тыс. рублей</t>
  </si>
  <si>
    <t xml:space="preserve">от 28.06.2022 
№ 41-1-1-3-041607-2022; от 19.10.2022 
№ 41-1-1-2-073756-2022</t>
  </si>
  <si>
    <t xml:space="preserve">71.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</si>
  <si>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</si>
  <si>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</si>
  <si>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тонн/год</t>
  </si>
  <si>
    <t xml:space="preserve">13 422 826,32218 
тыс. рублей</t>
  </si>
  <si>
    <t xml:space="preserve">от 22.12.2023 
№ 41-1-1-3-080447-2023</t>
  </si>
  <si>
    <t xml:space="preserve">72.</t>
  </si>
  <si>
    <t xml:space="preserve">Регазификационный комплекс СПГ в Камчатском крае (изъятие земельных участков)</t>
  </si>
  <si>
    <t xml:space="preserve">2022 год</t>
  </si>
  <si>
    <t xml:space="preserve">бюджетные инвестиции на приобретение объектов недвижимого имущества в  государственную (муниципальную) собственность</t>
  </si>
  <si>
    <t xml:space="preserve">73.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</si>
  <si>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</si>
  <si>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Чистая вода</t>
  </si>
  <si>
    <t xml:space="preserve">2 748 м</t>
  </si>
  <si>
    <t xml:space="preserve">сельское поселение «село Лесная»</t>
  </si>
  <si>
    <t xml:space="preserve">66 062,52000 
тыс. рублей</t>
  </si>
  <si>
    <t xml:space="preserve">74.</t>
  </si>
  <si>
    <t xml:space="preserve">Водовод с водозабором в с. Тигиль</t>
  </si>
  <si>
    <t xml:space="preserve">3 070,5 п.м.</t>
  </si>
  <si>
    <t xml:space="preserve">252 632,60000 
тыс. рублей</t>
  </si>
  <si>
    <t xml:space="preserve">от 01.12.2022 
№ 41-1-1-2-084253-2022</t>
  </si>
  <si>
    <t xml:space="preserve">75.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</si>
  <si>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</si>
  <si>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м.куб./сут.</t>
  </si>
  <si>
    <t xml:space="preserve">811663,58000
тыс. рублей</t>
  </si>
  <si>
    <t xml:space="preserve">от 12.05.2022 
№ 41-1-1-3-028782-2022</t>
  </si>
  <si>
    <t xml:space="preserve">76.</t>
  </si>
  <si>
    <t xml:space="preserve">Реконструкция канализационных очистных сооружений на мысе Погодном Усть-Камчатского сельского поселения</t>
  </si>
  <si>
    <t xml:space="preserve">cубсидии на софинансирование капитальных вложений в объекты государственной (муниципальной) собственности</t>
  </si>
  <si>
    <r>
      <rPr>
        <sz val="10"/>
        <color rgb="FF000000"/>
        <rFont val="Times New Roman"/>
        <family val="0"/>
        <charset val="1"/>
      </rPr>
      <t xml:space="preserve">1500 м</t>
    </r>
    <r>
      <rPr>
        <vertAlign val="superscript"/>
        <sz val="11"/>
        <color rgb="FF000000"/>
        <rFont val="Times New Roman"/>
        <family val="0"/>
        <charset val="1"/>
      </rPr>
      <t xml:space="preserve">3/</t>
    </r>
    <r>
      <rPr>
        <sz val="12"/>
        <color rgb="FF000000"/>
        <rFont val="Times New Roman"/>
        <family val="0"/>
        <charset val="1"/>
      </rPr>
      <t xml:space="preserve">сут.</t>
    </r>
  </si>
  <si>
    <t xml:space="preserve">Усть-Камчатский муницыпальный округ</t>
  </si>
  <si>
    <t xml:space="preserve">переходящий СМР</t>
  </si>
  <si>
    <t xml:space="preserve">от 04.09.2019 
№ 41-1-0262-19</t>
  </si>
  <si>
    <t xml:space="preserve">77.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</si>
  <si>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</si>
  <si>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</si>
  <si>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Строительство автомобильной дороги от пос. Заозерный до Халактырского пляжа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</si>
  <si>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</si>
  <si>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4,49428 км</t>
  </si>
  <si>
    <t xml:space="preserve">МКУ "Служба автомобильных дорог" </t>
  </si>
  <si>
    <t xml:space="preserve">897 660,90000 
тыс. рублей</t>
  </si>
  <si>
    <t xml:space="preserve">от 10.11.2023 
№ 41–1-1-3-067837-2023</t>
  </si>
  <si>
    <t xml:space="preserve">78.</t>
  </si>
  <si>
    <t xml:space="preserve">Строительство примыкания к автомобильной дороге по проспекту Содружества от микрорайона "Северный" (проектные работы)</t>
  </si>
  <si>
    <t xml:space="preserve">0,05 км</t>
  </si>
  <si>
    <t xml:space="preserve">79.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</si>
  <si>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</si>
  <si>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Петропавловск-Камчатского городского округа</t>
  </si>
  <si>
    <t xml:space="preserve">137 520,81000 тыс. рублей</t>
  </si>
  <si>
    <t xml:space="preserve">муниципальная </t>
  </si>
  <si>
    <t xml:space="preserve">вновь начинаемый СМР</t>
  </si>
  <si>
    <t xml:space="preserve">80.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</si>
  <si>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</si>
  <si>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Развитие туристической инфраструктуры (Камчатский край)</t>
  </si>
  <si>
    <t xml:space="preserve">32,063 км</t>
  </si>
  <si>
    <t xml:space="preserve">КГКУ "Управление автомобильных дорог Камчатского края"</t>
  </si>
  <si>
    <t xml:space="preserve">6 604 416,43000 
тыс. рублей</t>
  </si>
  <si>
    <t xml:space="preserve">от 17.12.2021 
№ 41-1-1-3-078735-2021 </t>
  </si>
  <si>
    <t xml:space="preserve">81.</t>
  </si>
  <si>
    <t xml:space="preserve">8 269 542,15600 
тыс. рублей</t>
  </si>
  <si>
    <t xml:space="preserve">82.</t>
  </si>
  <si>
    <t xml:space="preserve">Реконструкция мостового перехода через р. Железная-1 на 9 км автомобильной дороги "Садовое кольцо" в Елизовском районе Камчатского края</t>
  </si>
  <si>
    <t xml:space="preserve">Региональная и местная дорожная сеть (Камчатский  край)</t>
  </si>
  <si>
    <t xml:space="preserve">длина моста 15,94 м;
Протяжение дороги 0,41868 км</t>
  </si>
  <si>
    <t xml:space="preserve">209 597,37000 
тыс. рублей </t>
  </si>
  <si>
    <t xml:space="preserve">от 01.04.2022 
№ 41-1-1-3-019435-2022</t>
  </si>
  <si>
    <t xml:space="preserve">83.</t>
  </si>
  <si>
    <t xml:space="preserve">Реконструкция мостового перехода через р. Железная-2 на 12 км автомобильной дороги "Садовое кольцо" в Елизовском районе Камчатского края</t>
  </si>
  <si>
    <t xml:space="preserve">длина моста 20,724 м; 
протяжение дороги 0,74231 км</t>
  </si>
  <si>
    <t xml:space="preserve">318 822,41000 
тыс. рублей </t>
  </si>
  <si>
    <t xml:space="preserve">от 01.04.2022 
№ 41-1-1-3-019455-2022 </t>
  </si>
  <si>
    <t xml:space="preserve">84.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</si>
  <si>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</si>
  <si>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</si>
  <si>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тыс.чел./сутки</t>
  </si>
  <si>
    <t xml:space="preserve">КГКУ «Служба заказчика Министерства строительства и жилищной политики Камчатского края»</t>
  </si>
  <si>
    <t xml:space="preserve">905 348,50900 
тыс. рублей (уточнится проектом)</t>
  </si>
  <si>
    <t xml:space="preserve">85.</t>
  </si>
  <si>
    <t xml:space="preserve">86.</t>
  </si>
  <si>
    <t xml:space="preserve">Дорога местного значения от ул. Приморская до территории ООО "Свободный порт Камчатка"</t>
  </si>
  <si>
    <t xml:space="preserve">0,5 км</t>
  </si>
  <si>
    <t xml:space="preserve">224 341,63000 
тыс. рублей</t>
  </si>
  <si>
    <t xml:space="preserve">от 26.12.2020 
№ 41-1-1-3-068143-2020</t>
  </si>
  <si>
    <t xml:space="preserve">87.</t>
  </si>
  <si>
    <t xml:space="preserve">Объездная дорога от Петропавловского шоссе до жилого района "Северо-Восток". 2 этап - Строительство объездной дороги от проспекта Циолковского до Северо-Восточного шоссе (объезд Северо-Восточной части города)" (проектные работы)</t>
  </si>
  <si>
    <t xml:space="preserve">6,536 км</t>
  </si>
  <si>
    <t xml:space="preserve">Министерство транспорта и дорожного строительства Камчатского края </t>
  </si>
  <si>
    <t xml:space="preserve">4 960 444,31589 тыс. рублей (уточнится проектом)</t>
  </si>
  <si>
    <t xml:space="preserve">88.</t>
  </si>
  <si>
    <t xml:space="preserve">Реконструкция автомобильной дороги  подъезд к совхозу Петропавловский на участке км 0 - км 4 </t>
  </si>
  <si>
    <t xml:space="preserve">4,186 км</t>
  </si>
  <si>
    <t xml:space="preserve">909 711,74700
тыс. рублей </t>
  </si>
  <si>
    <t xml:space="preserve">от 26.11.2018 
№ 41-1-1-3-005550-2018; от 10.07.2023 
№ 41-1-1-2-039300-2023 </t>
  </si>
  <si>
    <t xml:space="preserve">89.</t>
  </si>
  <si>
    <t xml:space="preserve">Система ливневой канализации по проспекту Содружества и ул. Кавказская (проектные работы)</t>
  </si>
  <si>
    <t xml:space="preserve">1 ,37 км</t>
  </si>
  <si>
    <t xml:space="preserve">проектные работы</t>
  </si>
  <si>
    <t xml:space="preserve">90.</t>
  </si>
  <si>
    <t xml:space="preserve">Система ливневой канализации по проспекту Содружества и ул. Кавказская</t>
  </si>
  <si>
    <t xml:space="preserve">1,37 км</t>
  </si>
  <si>
    <t xml:space="preserve">100 026,90000 тыс. рублей</t>
  </si>
  <si>
    <t xml:space="preserve">91.</t>
  </si>
  <si>
    <t xml:space="preserve">Строительство примыкания к автомобильной дороге по ул. Ломоносова от микрорайона «Северный» (проектные работы)</t>
  </si>
  <si>
    <t xml:space="preserve">субсидии на софинансирование капитальных вложений в объекты муниципальной собственности</t>
  </si>
  <si>
    <t xml:space="preserve">0,078 км</t>
  </si>
  <si>
    <t xml:space="preserve">92.</t>
  </si>
  <si>
    <t xml:space="preserve">Строительство примыкания к автомобильной дороге по ул. Ломоносова от микрорайона «Северный»</t>
  </si>
  <si>
    <t xml:space="preserve">113 447,20000 тыс. рубдлей  </t>
  </si>
  <si>
    <t xml:space="preserve">93.</t>
  </si>
  <si>
    <t xml:space="preserve">Строительство подъезда к проектируемому 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</t>
  </si>
  <si>
    <t xml:space="preserve">2020 год</t>
  </si>
  <si>
    <t xml:space="preserve">2,91412 км</t>
  </si>
  <si>
    <t xml:space="preserve">1 212 202,29000 тыс. рублей</t>
  </si>
  <si>
    <t xml:space="preserve">от 23.07.2020 
№ 41-1-1-3-033132-2020;  от 27.12.2023 
№ 41-1-1-3-081990-2023</t>
  </si>
  <si>
    <t xml:space="preserve">94.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</si>
  <si>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1 этап (участок ПК28+00 - ПК80+00)</t>
  </si>
  <si>
    <t xml:space="preserve">2018 год</t>
  </si>
  <si>
    <t xml:space="preserve">5,21063 км</t>
  </si>
  <si>
    <t xml:space="preserve">953 937,96731 
тыс. рублей</t>
  </si>
  <si>
    <t xml:space="preserve">от 23.11.2023 
№ 41-1-1-3-070866-2023 </t>
  </si>
  <si>
    <t xml:space="preserve">95.</t>
  </si>
  <si>
    <t xml:space="preserve">Реконструкция автомобильной дороги Петропавловск-Камчатский – Мильково 40 км – Пиначево с подъездом к п. Раздольный и к базе с/х Заречный на участке км 1 - км 16,4. 2 этап (участок ПК00+00 - ПК28+00)</t>
  </si>
  <si>
    <t xml:space="preserve">2,8 км</t>
  </si>
  <si>
    <t xml:space="preserve">224 078,77669 
тыс. рублей</t>
  </si>
  <si>
    <t xml:space="preserve"> от 19.07.2023 
41-1-1-3-041570-2023</t>
  </si>
  <si>
    <t xml:space="preserve">96.</t>
  </si>
  <si>
    <t xml:space="preserve">Строительство объездной дороги от Петропавловского шоссе до жилого района «Северо-Восток», 1 этап - от Петропавловского шоссе до ул. Солнечной в г. Петропавловске-Камчатском</t>
  </si>
  <si>
    <t xml:space="preserve">7.59 км</t>
  </si>
  <si>
    <t xml:space="preserve">4 350 652,99000 тыс. рублей</t>
  </si>
  <si>
    <t xml:space="preserve">от 28.02.2023 
№ 1-1-2-008908-2023</t>
  </si>
  <si>
    <t xml:space="preserve">97.</t>
  </si>
  <si>
    <t xml:space="preserve">Автомобильная дорога от улицы Ленинская к улице Красинцев (проектные работы)</t>
  </si>
  <si>
    <t xml:space="preserve">0,11 км</t>
  </si>
  <si>
    <t xml:space="preserve">220 000,00000 
тыс. рублей</t>
  </si>
  <si>
    <t xml:space="preserve">98.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</si>
  <si>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</si>
  <si>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</si>
  <si>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155 822,67643 
тыс. рублей</t>
  </si>
  <si>
    <t xml:space="preserve">от 05.09.2022 
№ 41-1-1-3-063526-2022</t>
  </si>
  <si>
    <t xml:space="preserve">99.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</si>
  <si>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</si>
  <si>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</si>
  <si>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</si>
  <si>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Пионерское сельское поселение</t>
  </si>
  <si>
    <t xml:space="preserve">Инвестиционные мероприятия в сфере пожарной безопасности</t>
  </si>
  <si>
    <t xml:space="preserve">Площадь застройки 533,88 кв.м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</si>
  <si>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</si>
  <si>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100.</t>
  </si>
  <si>
    <t xml:space="preserve">Строительство "Пожарное депо на 2 выезда" в п. Озерновский</t>
  </si>
  <si>
    <t xml:space="preserve">Усть-Большерецкий муниципальный район, Озерновское городское поселение</t>
  </si>
  <si>
    <t xml:space="preserve">94 554,37600 
тыс. рублей</t>
  </si>
  <si>
    <t xml:space="preserve"> от 11.04.2018 
№ 41-1-1-3-0020-18;
от 14.03.2019 
№ 41-1-0048-19</t>
  </si>
  <si>
    <t xml:space="preserve">101.</t>
  </si>
  <si>
    <t xml:space="preserve">Строительство объекта "Учебно-тренировочная башня" расположенного по адресу: Камчатский край, Елизовский район, г. Елизово, ул. Попова д. 1А </t>
  </si>
  <si>
    <t xml:space="preserve">Строительный объем сооружения 223,9 м.куб</t>
  </si>
  <si>
    <t xml:space="preserve">КГУ "Центр обеспечения действий по гражданской обороне, чрезвычайным ситуациям и пожарной безопасности в Камчатском крае"</t>
  </si>
  <si>
    <t xml:space="preserve">разработка проектной документации </t>
  </si>
  <si>
    <t xml:space="preserve">102.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</si>
  <si>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</si>
  <si>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"поселок Палана" Камчатского края (в том числе проектные работы)</t>
  </si>
  <si>
    <t xml:space="preserve">городской округ «поселок Палана» </t>
  </si>
  <si>
    <t xml:space="preserve">Комплексная система обращения с твердыми коммунальными отходами на территории Камчатского края</t>
  </si>
  <si>
    <t xml:space="preserve">Вместимость полигона ТКО – 605 тыс. м.куб (105 тыс. тн)</t>
  </si>
  <si>
    <t xml:space="preserve">16 239,71587 
тыс. рублей</t>
  </si>
  <si>
    <t xml:space="preserve">103.</t>
  </si>
  <si>
    <t xml:space="preserve">Объект обезвреживания отходов производства и потребления, в том числе твердых коммунальных отходов в с. Тиличики Олюторского муниципального района (проектные работы)</t>
  </si>
  <si>
    <t xml:space="preserve">100-900 тн/год</t>
  </si>
  <si>
    <t xml:space="preserve">АО "Спецтранс"</t>
  </si>
  <si>
    <t xml:space="preserve">30 000 тыс. рублей</t>
  </si>
  <si>
    <t xml:space="preserve">104.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</si>
  <si>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</si>
  <si>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(изъятие земельных участков)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</si>
  <si>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</t>
  </si>
  <si>
    <t xml:space="preserve">бюджетные инвестиции на приобретение объектов недвижимого имущества в
 государственную (муниципальную) собственность</t>
  </si>
  <si>
    <t xml:space="preserve">105.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</si>
  <si>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</si>
  <si>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</si>
  <si>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</si>
  <si>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106.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</si>
  <si>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</si>
  <si>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</si>
  <si>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Строительство 12-квартирного жилого дома по ул. 60 лет Октября в пос. Усть-Камчатск на мысе Погодный</t>
  </si>
  <si>
    <t xml:space="preserve">Усть-Камчатский муниципальный округ</t>
  </si>
  <si>
    <t xml:space="preserve">Обеспечение жильем молодых семей и граждан, проживающих в сельской местности</t>
  </si>
  <si>
    <t xml:space="preserve">площадь 745,2 кв.м</t>
  </si>
  <si>
    <t xml:space="preserve">Усть-Камчатское сельское поселение </t>
  </si>
  <si>
    <t xml:space="preserve">Администрация Усть-Камчатского сельского поселения</t>
  </si>
  <si>
    <t xml:space="preserve">150 769,850 
тыс. рублей </t>
  </si>
  <si>
    <t xml:space="preserve">от 16.12.2023
№ 41-1-1-3-077686-2023</t>
  </si>
  <si>
    <t xml:space="preserve">107.</t>
  </si>
  <si>
    <t xml:space="preserve">Автомобильная дорога Петропавловск-Камчатский - Мильково 40 км - Пиначево с подъездом к п. Раздольный и к базе с/х Заречный на участке км 1 - км 16,4 3 этап (участок ПК80+00-ПК95+00)</t>
  </si>
  <si>
    <t xml:space="preserve">1,5 км</t>
  </si>
  <si>
    <t xml:space="preserve">488 973,075 
тыс. рублей (уточнится проектом)</t>
  </si>
  <si>
    <t xml:space="preserve">108.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</si>
  <si>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</si>
  <si>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</si>
  <si>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383 312,503 
тыс. рублей</t>
  </si>
  <si>
    <t xml:space="preserve">от 22.07.2022 
№ 41-1-1-2-049246-2022 </t>
  </si>
  <si>
    <t xml:space="preserve">109.</t>
  </si>
  <si>
    <t xml:space="preserve">Учебный корпус МБОУ "Елизовская средняя школа №1 им.М.В. Ломоносова"</t>
  </si>
  <si>
    <t xml:space="preserve">Современный облик сельских территорий</t>
  </si>
  <si>
    <t xml:space="preserve">500 мест</t>
  </si>
  <si>
    <t xml:space="preserve">Администрация Елизовского муниципального района</t>
  </si>
  <si>
    <t xml:space="preserve">1 337 290,33630 
тыс. рублей</t>
  </si>
  <si>
    <t xml:space="preserve">от 21.12.2021 
№ 41-1-1-3-080210-2021 </t>
  </si>
  <si>
    <t xml:space="preserve">110.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</si>
  <si>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</si>
  <si>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</si>
  <si>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 (проектные работы)</t>
  </si>
  <si>
    <t xml:space="preserve">Соболевский муниципальный район, 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</si>
  <si>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</si>
  <si>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5000 п.м.</t>
  </si>
  <si>
    <r>
      <rPr>
        <sz val="10"/>
        <rFont val="Times New Roman"/>
        <family val="0"/>
        <charset val="1"/>
      </rPr>
      <t xml:space="preserve">504 125,88000 
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</si>
  <si>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от 17.11.2023 
№ 41-1-1-1-069443-2023;     
от  07.05.2024
№ 41-1-1-2-021842-2024</t>
  </si>
  <si>
    <t xml:space="preserve">111.</t>
  </si>
  <si>
    <t xml:space="preserve">Строительство берегоукрепительного сооружения в районе с. Долиновка Мильковского муниципального района (проектные работы)</t>
  </si>
  <si>
    <t xml:space="preserve">Мильковский муниципальный округ, село Долиновка</t>
  </si>
  <si>
    <t xml:space="preserve">910  п.м.</t>
  </si>
  <si>
    <r>
      <rPr>
        <sz val="10"/>
        <rFont val="Times New Roman"/>
        <family val="0"/>
        <charset val="1"/>
      </rPr>
      <t xml:space="preserve">647 186,69000 
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</si>
  <si>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от 06.05.2024 
№ 41-1-1-3-021605-2024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</si>
</sst>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.00"/>
    <numFmt numFmtId="166" formatCode="0"/>
    <numFmt numFmtId="167" formatCode="#,##0.00000"/>
    <numFmt numFmtId="168" formatCode="0.00000;\-0.00000"/>
    <numFmt numFmtId="169" formatCode="#,##0.00"/>
    <numFmt numFmtId="170" formatCode="0.00000"/>
    <numFmt numFmtId="171" formatCode="@"/>
    <numFmt numFmtId="172" formatCode="#,##0.00000;\-#,##0.00000"/>
    <numFmt numFmtId="173" formatCode="#,##0.0"/>
    <numFmt numFmtId="174" formatCode="#,##0"/>
  </numFmts>
  <fonts count="25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1"/>
    </font>
    <font>
      <sz val="10"/>
      <color rgb="FF000000"/>
      <name val="Times New Roman"/>
      <family val="0"/>
      <charset val="1"/>
    </font>
    <font>
      <sz val="10"/>
      <name val="Times New Roman"/>
      <family val="1"/>
      <charset val="1"/>
    </font>
    <font>
      <sz val="10"/>
      <name val="Times New Roman"/>
      <family val="0"/>
      <charset val="1"/>
    </font>
    <font>
      <sz val="10"/>
      <color rgb="FF000000"/>
      <name val="Times New Roman"/>
      <family val="0"/>
      <charset val="204"/>
    </font>
    <font>
      <sz val="10"/>
      <name val="Times New Roman"/>
      <family val="1"/>
      <charset val="204"/>
    </font>
    <font>
      <vertAlign val="superscript"/>
      <sz val="11"/>
      <color rgb="FF000000"/>
      <name val="Times New Roman"/>
      <family val="0"/>
      <charset val="1"/>
    </font>
    <font>
      <sz val="12"/>
      <color rgb="FF000000"/>
      <name val="Times New Roman"/>
      <family val="0"/>
      <charset val="1"/>
    </font>
    <font>
      <sz val="11"/>
      <name val="Times New Roman"/>
      <family val="1"/>
      <charset val="1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0"/>
      <color rgb="FF333333"/>
      <name val="Times New Roman"/>
      <family val="1"/>
      <charset val="1"/>
    </font>
    <font>
      <sz val="11"/>
      <color rgb="FF333333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3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2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2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Обычный 13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Z493"/>
  <sheetViews>
    <sheetView showFormulas="false" showGridLines="true" showRowColHeaders="true" showZeros="true" rightToLeft="false" tabSelected="true" showOutlineSymbols="true" defaultGridColor="true" view="pageBreakPreview" topLeftCell="A1" colorId="64" zoomScale="64" zoomScaleNormal="64" zoomScalePageLayoutView="64" workbookViewId="0">
      <selection pane="topLeft" activeCell="A4" activeCellId="0" sqref="A4"/>
    </sheetView>
  </sheetViews>
  <sheetFormatPr defaultColWidth="8.71484375" defaultRowHeight="15.75" zeroHeight="false" outlineLevelRow="0" outlineLevelCol="0"/>
  <cols>
    <col collapsed="false" customWidth="true" hidden="false" outlineLevel="0" max="1" min="1" style="1" width="5.29"/>
    <col collapsed="false" customWidth="true" hidden="false" outlineLevel="0" max="2" min="2" style="2" width="30.71"/>
    <col collapsed="false" customWidth="true" hidden="false" outlineLevel="0" max="3" min="3" style="2" width="27.42"/>
    <col collapsed="false" customWidth="true" hidden="false" outlineLevel="0" max="4" min="4" style="2" width="34.29"/>
    <col collapsed="false" customWidth="true" hidden="false" outlineLevel="0" max="5" min="5" style="2" width="20.71"/>
    <col collapsed="false" customWidth="true" hidden="false" outlineLevel="0" max="6" min="6" style="3" width="19.71"/>
    <col collapsed="false" customWidth="true" hidden="false" outlineLevel="0" max="7" min="7" style="3" width="18.29"/>
    <col collapsed="false" customWidth="true" hidden="false" outlineLevel="0" max="8" min="8" style="3" width="19.57"/>
    <col collapsed="false" customWidth="true" hidden="false" outlineLevel="0" max="9" min="9" style="3" width="19.14"/>
    <col collapsed="false" customWidth="true" hidden="false" outlineLevel="0" max="10" min="10" style="3" width="18.86"/>
    <col collapsed="false" customWidth="true" hidden="false" outlineLevel="0" max="11" min="11" style="3" width="19.71"/>
    <col collapsed="false" customWidth="true" hidden="false" outlineLevel="0" max="12" min="12" style="3" width="19.42"/>
    <col collapsed="false" customWidth="true" hidden="false" outlineLevel="0" max="13" min="13" style="3" width="17.86"/>
    <col collapsed="false" customWidth="true" hidden="false" outlineLevel="0" max="14" min="14" style="3" width="17.57"/>
    <col collapsed="false" customWidth="true" hidden="false" outlineLevel="0" max="15" min="15" style="3" width="16.84"/>
    <col collapsed="false" customWidth="true" hidden="false" outlineLevel="0" max="18" min="16" style="3" width="16"/>
    <col collapsed="false" customWidth="true" hidden="false" outlineLevel="0" max="19" min="19" style="3" width="17.86"/>
    <col collapsed="false" customWidth="true" hidden="false" outlineLevel="0" max="22" min="20" style="3" width="16"/>
    <col collapsed="false" customWidth="true" hidden="false" outlineLevel="0" max="23" min="23" style="3" width="15.42"/>
    <col collapsed="false" customWidth="true" hidden="false" outlineLevel="0" max="24" min="24" style="3" width="16"/>
    <col collapsed="false" customWidth="true" hidden="false" outlineLevel="0" max="25" min="25" style="3" width="16.84"/>
    <col collapsed="false" customWidth="true" hidden="false" outlineLevel="0" max="27" min="26" style="3" width="16"/>
    <col collapsed="false" customWidth="true" hidden="false" outlineLevel="0" max="28" min="28" style="2" width="15.85"/>
    <col collapsed="false" customWidth="true" hidden="false" outlineLevel="0" max="29" min="29" style="2" width="16"/>
    <col collapsed="false" customWidth="true" hidden="false" outlineLevel="0" max="30" min="30" style="3" width="18"/>
    <col collapsed="false" customWidth="true" hidden="false" outlineLevel="0" max="31" min="31" style="3" width="17.15"/>
    <col collapsed="false" customWidth="true" hidden="false" outlineLevel="0" max="34" min="32" style="3" width="15.42"/>
    <col collapsed="false" customWidth="true" hidden="false" outlineLevel="0" max="35" min="35" style="2" width="22.29"/>
    <col collapsed="false" customWidth="true" hidden="false" outlineLevel="0" max="37" min="36" style="2" width="19.14"/>
    <col collapsed="false" customWidth="true" hidden="false" outlineLevel="0" max="38" min="38" style="2" width="33.14"/>
    <col collapsed="false" customWidth="true" hidden="false" outlineLevel="0" max="39" min="39" style="2" width="19.14"/>
    <col collapsed="false" customWidth="true" hidden="false" outlineLevel="0" max="40" min="40" style="2" width="24"/>
    <col collapsed="false" customWidth="true" hidden="false" outlineLevel="0" max="41" min="41" style="2" width="19.14"/>
    <col collapsed="false" customWidth="true" hidden="false" outlineLevel="0" max="42" min="42" style="2" width="20.42"/>
    <col collapsed="false" customWidth="true" hidden="false" outlineLevel="0" max="43" min="43" style="2" width="20.71"/>
    <col collapsed="false" customWidth="true" hidden="false" outlineLevel="0" max="44" min="44" style="2" width="19.14"/>
    <col collapsed="false" customWidth="true" hidden="false" outlineLevel="0" max="45" min="45" style="2" width="23.86"/>
    <col collapsed="false" customWidth="true" hidden="false" outlineLevel="0" max="46" min="46" style="2" width="21.71"/>
    <col collapsed="false" customWidth="true" hidden="false" outlineLevel="0" max="47" min="47" style="2" width="22.86"/>
    <col collapsed="false" customWidth="false" hidden="false" outlineLevel="0" max="104" min="48" style="4" width="8.71"/>
    <col collapsed="false" customWidth="false" hidden="false" outlineLevel="0" max="16380" min="105" style="3" width="8.71"/>
    <col collapsed="false" customWidth="true" hidden="false" outlineLevel="0" max="16384" min="16381" style="3" width="11.57"/>
  </cols>
  <sheetData>
    <row r="1" s="7" customFormat="true" ht="83.25" hidden="false" customHeight="true" outlineLevel="0" collapsed="false">
      <c r="A1" s="5"/>
      <c r="B1" s="6"/>
      <c r="C1" s="6"/>
      <c r="D1" s="6"/>
      <c r="E1" s="6"/>
      <c r="AB1" s="6"/>
      <c r="AC1" s="6"/>
      <c r="AI1" s="6"/>
      <c r="AJ1" s="6"/>
      <c r="AK1" s="6"/>
      <c r="AL1" s="6"/>
      <c r="AM1" s="6"/>
      <c r="AN1" s="6"/>
      <c r="AO1" s="6"/>
      <c r="AP1" s="6"/>
      <c r="AQ1" s="6"/>
      <c r="AR1" s="8"/>
      <c r="AS1" s="9" t="s">
        <v>0</v>
      </c>
      <c r="AT1" s="9"/>
      <c r="AU1" s="9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</row>
    <row r="2" s="7" customFormat="true" ht="85.5" hidden="false" customHeight="true" outlineLevel="0" collapsed="false">
      <c r="A2" s="5"/>
      <c r="B2" s="6"/>
      <c r="C2" s="6"/>
      <c r="D2" s="6"/>
      <c r="E2" s="6"/>
      <c r="AB2" s="6"/>
      <c r="AC2" s="6"/>
      <c r="AI2" s="6"/>
      <c r="AJ2" s="6"/>
      <c r="AK2" s="6"/>
      <c r="AL2" s="6"/>
      <c r="AM2" s="6"/>
      <c r="AN2" s="6"/>
      <c r="AO2" s="6"/>
      <c r="AP2" s="6"/>
      <c r="AQ2" s="8"/>
      <c r="AR2" s="11"/>
      <c r="AS2" s="9" t="s">
        <v>1</v>
      </c>
      <c r="AT2" s="9"/>
      <c r="AU2" s="9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</row>
    <row r="3" s="14" customFormat="true" ht="31.5" hidden="false" customHeight="true" outlineLevel="0" collapsed="false">
      <c r="A3" s="12"/>
      <c r="B3" s="13"/>
      <c r="C3" s="13"/>
      <c r="D3" s="13"/>
      <c r="E3" s="13"/>
      <c r="AB3" s="13"/>
      <c r="AC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</row>
    <row r="4" customFormat="false" ht="34.5" hidden="false" customHeight="true" outlineLevel="0" collapsed="false">
      <c r="A4" s="16" t="s">
        <v>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</row>
    <row r="5" customFormat="false" ht="32.25" hidden="false" customHeight="true" outlineLevel="0" collapsed="false"/>
    <row r="6" customFormat="false" ht="26.25" hidden="false" customHeight="true" outlineLevel="0" collapsed="false">
      <c r="A6" s="18" t="s">
        <v>3</v>
      </c>
      <c r="B6" s="19" t="s">
        <v>4</v>
      </c>
      <c r="C6" s="19" t="s">
        <v>5</v>
      </c>
      <c r="D6" s="19" t="s">
        <v>6</v>
      </c>
      <c r="E6" s="19" t="s">
        <v>7</v>
      </c>
      <c r="F6" s="19" t="s">
        <v>8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 t="s">
        <v>9</v>
      </c>
      <c r="AJ6" s="19" t="s">
        <v>10</v>
      </c>
      <c r="AK6" s="19" t="s">
        <v>11</v>
      </c>
      <c r="AL6" s="19" t="s">
        <v>12</v>
      </c>
      <c r="AM6" s="19" t="s">
        <v>13</v>
      </c>
      <c r="AN6" s="19" t="s">
        <v>14</v>
      </c>
      <c r="AO6" s="19" t="s">
        <v>15</v>
      </c>
      <c r="AP6" s="19" t="s">
        <v>16</v>
      </c>
      <c r="AQ6" s="19" t="s">
        <v>17</v>
      </c>
      <c r="AR6" s="19" t="s">
        <v>18</v>
      </c>
      <c r="AS6" s="19" t="s">
        <v>19</v>
      </c>
      <c r="AT6" s="19" t="s">
        <v>20</v>
      </c>
      <c r="AU6" s="19" t="s">
        <v>21</v>
      </c>
    </row>
    <row r="7" customFormat="false" ht="26.25" hidden="false" customHeight="true" outlineLevel="0" collapsed="false">
      <c r="A7" s="18"/>
      <c r="B7" s="19"/>
      <c r="C7" s="19"/>
      <c r="D7" s="19"/>
      <c r="E7" s="19"/>
      <c r="F7" s="19" t="s">
        <v>22</v>
      </c>
      <c r="G7" s="19" t="s">
        <v>23</v>
      </c>
      <c r="H7" s="19"/>
      <c r="I7" s="19"/>
      <c r="J7" s="19"/>
      <c r="K7" s="19"/>
      <c r="L7" s="19"/>
      <c r="M7" s="19" t="s">
        <v>24</v>
      </c>
      <c r="N7" s="19"/>
      <c r="O7" s="19"/>
      <c r="P7" s="19"/>
      <c r="Q7" s="19"/>
      <c r="R7" s="19"/>
      <c r="S7" s="19" t="s">
        <v>25</v>
      </c>
      <c r="T7" s="19"/>
      <c r="U7" s="19"/>
      <c r="V7" s="19"/>
      <c r="W7" s="19"/>
      <c r="X7" s="19"/>
      <c r="Y7" s="19" t="s">
        <v>26</v>
      </c>
      <c r="Z7" s="19"/>
      <c r="AA7" s="19"/>
      <c r="AB7" s="19"/>
      <c r="AC7" s="19"/>
      <c r="AD7" s="19" t="s">
        <v>27</v>
      </c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customFormat="false" ht="91.5" hidden="false" customHeight="true" outlineLevel="0" collapsed="false">
      <c r="A8" s="18"/>
      <c r="B8" s="19"/>
      <c r="C8" s="19"/>
      <c r="D8" s="19"/>
      <c r="E8" s="19"/>
      <c r="F8" s="19"/>
      <c r="G8" s="20" t="s">
        <v>28</v>
      </c>
      <c r="H8" s="19" t="s">
        <v>29</v>
      </c>
      <c r="I8" s="19" t="s">
        <v>30</v>
      </c>
      <c r="J8" s="19" t="s">
        <v>31</v>
      </c>
      <c r="K8" s="19" t="s">
        <v>32</v>
      </c>
      <c r="L8" s="19" t="s">
        <v>33</v>
      </c>
      <c r="M8" s="20" t="s">
        <v>28</v>
      </c>
      <c r="N8" s="19" t="s">
        <v>29</v>
      </c>
      <c r="O8" s="19" t="s">
        <v>30</v>
      </c>
      <c r="P8" s="19" t="s">
        <v>31</v>
      </c>
      <c r="Q8" s="19" t="s">
        <v>32</v>
      </c>
      <c r="R8" s="19" t="s">
        <v>33</v>
      </c>
      <c r="S8" s="20" t="s">
        <v>28</v>
      </c>
      <c r="T8" s="19" t="s">
        <v>29</v>
      </c>
      <c r="U8" s="19" t="s">
        <v>30</v>
      </c>
      <c r="V8" s="19" t="s">
        <v>31</v>
      </c>
      <c r="W8" s="19" t="s">
        <v>32</v>
      </c>
      <c r="X8" s="19" t="s">
        <v>33</v>
      </c>
      <c r="Y8" s="20" t="s">
        <v>28</v>
      </c>
      <c r="Z8" s="19" t="s">
        <v>29</v>
      </c>
      <c r="AA8" s="19" t="s">
        <v>30</v>
      </c>
      <c r="AB8" s="19" t="s">
        <v>31</v>
      </c>
      <c r="AC8" s="19" t="s">
        <v>32</v>
      </c>
      <c r="AD8" s="20" t="s">
        <v>28</v>
      </c>
      <c r="AE8" s="19" t="s">
        <v>29</v>
      </c>
      <c r="AF8" s="19" t="s">
        <v>30</v>
      </c>
      <c r="AG8" s="19" t="s">
        <v>31</v>
      </c>
      <c r="AH8" s="19" t="s">
        <v>32</v>
      </c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customFormat="false" ht="15.75" hidden="false" customHeight="false" outlineLevel="0" collapsed="false">
      <c r="A9" s="19" t="n">
        <v>1</v>
      </c>
      <c r="B9" s="20" t="n">
        <v>2</v>
      </c>
      <c r="C9" s="20" t="n">
        <v>3</v>
      </c>
      <c r="D9" s="20" t="n">
        <v>4</v>
      </c>
      <c r="E9" s="20" t="n">
        <v>5</v>
      </c>
      <c r="F9" s="20" t="n">
        <v>6</v>
      </c>
      <c r="G9" s="20" t="n">
        <v>7</v>
      </c>
      <c r="H9" s="20" t="n">
        <v>8</v>
      </c>
      <c r="I9" s="20" t="n">
        <v>9</v>
      </c>
      <c r="J9" s="20" t="n">
        <v>10</v>
      </c>
      <c r="K9" s="20" t="n">
        <v>11</v>
      </c>
      <c r="L9" s="20" t="n">
        <v>12</v>
      </c>
      <c r="M9" s="20" t="n">
        <v>13</v>
      </c>
      <c r="N9" s="20" t="n">
        <v>14</v>
      </c>
      <c r="O9" s="20" t="n">
        <v>15</v>
      </c>
      <c r="P9" s="20" t="n">
        <v>16</v>
      </c>
      <c r="Q9" s="20" t="n">
        <v>17</v>
      </c>
      <c r="R9" s="20" t="n">
        <v>18</v>
      </c>
      <c r="S9" s="20" t="n">
        <v>19</v>
      </c>
      <c r="T9" s="20" t="n">
        <v>20</v>
      </c>
      <c r="U9" s="20" t="n">
        <v>21</v>
      </c>
      <c r="V9" s="20" t="n">
        <v>22</v>
      </c>
      <c r="W9" s="20" t="n">
        <v>23</v>
      </c>
      <c r="X9" s="20" t="n">
        <v>24</v>
      </c>
      <c r="Y9" s="20" t="n">
        <v>25</v>
      </c>
      <c r="Z9" s="20" t="n">
        <v>26</v>
      </c>
      <c r="AA9" s="20" t="n">
        <v>27</v>
      </c>
      <c r="AB9" s="20" t="n">
        <v>28</v>
      </c>
      <c r="AC9" s="20" t="n">
        <v>29</v>
      </c>
      <c r="AD9" s="20" t="n">
        <v>30</v>
      </c>
      <c r="AE9" s="20" t="n">
        <v>31</v>
      </c>
      <c r="AF9" s="20" t="n">
        <v>32</v>
      </c>
      <c r="AG9" s="20" t="n">
        <v>33</v>
      </c>
      <c r="AH9" s="20" t="n">
        <v>34</v>
      </c>
      <c r="AI9" s="20" t="n">
        <v>35</v>
      </c>
      <c r="AJ9" s="20" t="n">
        <v>36</v>
      </c>
      <c r="AK9" s="20" t="n">
        <v>37</v>
      </c>
      <c r="AL9" s="20" t="n">
        <v>38</v>
      </c>
      <c r="AM9" s="20" t="n">
        <v>39</v>
      </c>
      <c r="AN9" s="20" t="n">
        <v>40</v>
      </c>
      <c r="AO9" s="20" t="n">
        <v>41</v>
      </c>
      <c r="AP9" s="20" t="n">
        <v>42</v>
      </c>
      <c r="AQ9" s="20" t="n">
        <v>43</v>
      </c>
      <c r="AR9" s="20" t="n">
        <v>44</v>
      </c>
      <c r="AS9" s="20" t="n">
        <v>45</v>
      </c>
      <c r="AT9" s="20" t="n">
        <v>46</v>
      </c>
      <c r="AU9" s="20" t="n">
        <v>47</v>
      </c>
    </row>
    <row r="10" s="14" customFormat="true" ht="99.75" hidden="false" customHeight="true" outlineLevel="0" collapsed="false">
      <c r="A10" s="19" t="s">
        <v>34</v>
      </c>
      <c r="B10" s="19" t="s">
        <v>35</v>
      </c>
      <c r="C10" s="19" t="s">
        <v>36</v>
      </c>
      <c r="D10" s="19" t="s">
        <v>37</v>
      </c>
      <c r="E10" s="19" t="s">
        <v>38</v>
      </c>
      <c r="F10" s="21" t="n">
        <f aca="false">SUM(G10+M10+S10+Y10+AD10)</f>
        <v>410138.57887</v>
      </c>
      <c r="G10" s="21" t="n">
        <f aca="false">SUM(H10:L10)</f>
        <v>152201.23887</v>
      </c>
      <c r="H10" s="21" t="n">
        <f aca="false">0+90788.89581+57983.741+0.07894</f>
        <v>148772.71575</v>
      </c>
      <c r="I10" s="21" t="n">
        <f aca="false">246824.64419-21119.892-97000-125276.23089+0.00182</f>
        <v>3428.52311999999</v>
      </c>
      <c r="J10" s="21"/>
      <c r="K10" s="21"/>
      <c r="L10" s="21"/>
      <c r="M10" s="21" t="n">
        <f aca="false">SUM(N10:R10)</f>
        <v>257937.34</v>
      </c>
      <c r="N10" s="21" t="n">
        <f aca="false">0+160674.98464</f>
        <v>160674.98464</v>
      </c>
      <c r="O10" s="21" t="n">
        <f aca="false">107262.35536-10000</f>
        <v>97262.35536</v>
      </c>
      <c r="P10" s="21"/>
      <c r="Q10" s="21"/>
      <c r="R10" s="21"/>
      <c r="S10" s="21" t="n">
        <f aca="false">SUM(T10:X10)</f>
        <v>0</v>
      </c>
      <c r="T10" s="21"/>
      <c r="U10" s="21"/>
      <c r="V10" s="21"/>
      <c r="W10" s="21"/>
      <c r="X10" s="21"/>
      <c r="Y10" s="21" t="n">
        <f aca="false">SUM(Z10:AC10)</f>
        <v>0</v>
      </c>
      <c r="Z10" s="21"/>
      <c r="AA10" s="21"/>
      <c r="AB10" s="21"/>
      <c r="AC10" s="21"/>
      <c r="AD10" s="21" t="n">
        <f aca="false">SUM(AE10:AH10)</f>
        <v>0</v>
      </c>
      <c r="AE10" s="21"/>
      <c r="AF10" s="21"/>
      <c r="AG10" s="21"/>
      <c r="AH10" s="21"/>
      <c r="AI10" s="19" t="s">
        <v>39</v>
      </c>
      <c r="AJ10" s="19" t="s">
        <v>24</v>
      </c>
      <c r="AK10" s="19"/>
      <c r="AL10" s="19" t="s">
        <v>40</v>
      </c>
      <c r="AM10" s="19" t="s">
        <v>41</v>
      </c>
      <c r="AN10" s="19" t="s">
        <v>42</v>
      </c>
      <c r="AO10" s="19" t="s">
        <v>43</v>
      </c>
      <c r="AP10" s="19" t="s">
        <v>42</v>
      </c>
      <c r="AQ10" s="19" t="s">
        <v>42</v>
      </c>
      <c r="AR10" s="19"/>
      <c r="AS10" s="19" t="s">
        <v>44</v>
      </c>
      <c r="AT10" s="19" t="s">
        <v>45</v>
      </c>
      <c r="AU10" s="19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</row>
    <row r="11" customFormat="false" ht="99.75" hidden="false" customHeight="true" outlineLevel="0" collapsed="false">
      <c r="A11" s="19" t="s">
        <v>46</v>
      </c>
      <c r="B11" s="19" t="s">
        <v>35</v>
      </c>
      <c r="C11" s="19" t="s">
        <v>36</v>
      </c>
      <c r="D11" s="19" t="s">
        <v>47</v>
      </c>
      <c r="E11" s="19" t="s">
        <v>48</v>
      </c>
      <c r="F11" s="21" t="n">
        <f aca="false">SUM(G11+M11+S11+Y11+AD11)</f>
        <v>556019.8495</v>
      </c>
      <c r="G11" s="21" t="n">
        <f aca="false">SUM(H11:L11)</f>
        <v>356459.3195</v>
      </c>
      <c r="H11" s="21" t="n">
        <f aca="false">0+139535.778</f>
        <v>139535.778</v>
      </c>
      <c r="I11" s="21" t="n">
        <f aca="false">257241.01+75000+15000-95300-11500-18467.89936-28.00148-5021.56766</f>
        <v>216923.5415</v>
      </c>
      <c r="J11" s="21"/>
      <c r="K11" s="21"/>
      <c r="L11" s="21"/>
      <c r="M11" s="21" t="n">
        <f aca="false">SUM(N11:R11)</f>
        <v>199560.53</v>
      </c>
      <c r="N11" s="21"/>
      <c r="O11" s="21" t="n">
        <v>199560.53</v>
      </c>
      <c r="P11" s="21"/>
      <c r="Q11" s="21"/>
      <c r="R11" s="21"/>
      <c r="S11" s="21" t="n">
        <f aca="false">SUM(T11:X11)</f>
        <v>0</v>
      </c>
      <c r="T11" s="21"/>
      <c r="U11" s="21"/>
      <c r="V11" s="21"/>
      <c r="W11" s="21"/>
      <c r="X11" s="21"/>
      <c r="Y11" s="21" t="n">
        <f aca="false">SUM(Z11:AC11)</f>
        <v>0</v>
      </c>
      <c r="Z11" s="21"/>
      <c r="AA11" s="21"/>
      <c r="AB11" s="21"/>
      <c r="AC11" s="21"/>
      <c r="AD11" s="21" t="n">
        <f aca="false">SUM(AE11:AH11)</f>
        <v>0</v>
      </c>
      <c r="AE11" s="21"/>
      <c r="AF11" s="21"/>
      <c r="AG11" s="21"/>
      <c r="AH11" s="21"/>
      <c r="AI11" s="19" t="s">
        <v>39</v>
      </c>
      <c r="AJ11" s="19" t="s">
        <v>24</v>
      </c>
      <c r="AK11" s="19"/>
      <c r="AL11" s="19" t="s">
        <v>40</v>
      </c>
      <c r="AM11" s="19" t="s">
        <v>49</v>
      </c>
      <c r="AN11" s="19" t="s">
        <v>42</v>
      </c>
      <c r="AO11" s="19" t="s">
        <v>43</v>
      </c>
      <c r="AP11" s="19" t="s">
        <v>42</v>
      </c>
      <c r="AQ11" s="19" t="s">
        <v>42</v>
      </c>
      <c r="AR11" s="19" t="s">
        <v>50</v>
      </c>
      <c r="AS11" s="19" t="s">
        <v>44</v>
      </c>
      <c r="AT11" s="19" t="s">
        <v>45</v>
      </c>
      <c r="AU11" s="19" t="s">
        <v>51</v>
      </c>
    </row>
    <row r="12" customFormat="false" ht="113.25" hidden="false" customHeight="true" outlineLevel="0" collapsed="false">
      <c r="A12" s="19" t="s">
        <v>52</v>
      </c>
      <c r="B12" s="19" t="s">
        <v>35</v>
      </c>
      <c r="C12" s="19" t="s">
        <v>36</v>
      </c>
      <c r="D12" s="19" t="s">
        <v>53</v>
      </c>
      <c r="E12" s="19" t="s">
        <v>54</v>
      </c>
      <c r="F12" s="21" t="n">
        <f aca="false">SUM(G12+M12+S12+Y12+AD12)</f>
        <v>38377.7</v>
      </c>
      <c r="G12" s="21" t="n">
        <f aca="false">SUM(H12:L12)</f>
        <v>38377.7</v>
      </c>
      <c r="H12" s="21" t="n">
        <f aca="false">0+37513.19436+54450.175-54450.175</f>
        <v>37513.19436</v>
      </c>
      <c r="I12" s="21" t="n">
        <f aca="false">119013.99564-6500+3250-113644.67+0.00475-1254.82475</f>
        <v>864.505639999996</v>
      </c>
      <c r="J12" s="21"/>
      <c r="K12" s="21"/>
      <c r="L12" s="21"/>
      <c r="M12" s="21" t="n">
        <f aca="false">SUM(N12:R12)</f>
        <v>0</v>
      </c>
      <c r="N12" s="21"/>
      <c r="O12" s="21"/>
      <c r="P12" s="21"/>
      <c r="Q12" s="21"/>
      <c r="R12" s="21"/>
      <c r="S12" s="21" t="n">
        <f aca="false">SUM(T12:X12)</f>
        <v>0</v>
      </c>
      <c r="T12" s="21"/>
      <c r="U12" s="21"/>
      <c r="V12" s="21"/>
      <c r="W12" s="21"/>
      <c r="X12" s="21"/>
      <c r="Y12" s="21" t="n">
        <f aca="false">SUM(Z12:AC12)</f>
        <v>0</v>
      </c>
      <c r="Z12" s="21"/>
      <c r="AA12" s="21"/>
      <c r="AB12" s="21"/>
      <c r="AC12" s="21"/>
      <c r="AD12" s="21" t="n">
        <f aca="false">SUM(AE12:AH12)</f>
        <v>0</v>
      </c>
      <c r="AE12" s="21"/>
      <c r="AF12" s="21"/>
      <c r="AG12" s="21"/>
      <c r="AH12" s="21"/>
      <c r="AI12" s="19" t="s">
        <v>55</v>
      </c>
      <c r="AJ12" s="19" t="s">
        <v>23</v>
      </c>
      <c r="AK12" s="19"/>
      <c r="AL12" s="19" t="s">
        <v>40</v>
      </c>
      <c r="AM12" s="19" t="s">
        <v>56</v>
      </c>
      <c r="AN12" s="19" t="s">
        <v>57</v>
      </c>
      <c r="AO12" s="19" t="s">
        <v>43</v>
      </c>
      <c r="AP12" s="19" t="s">
        <v>42</v>
      </c>
      <c r="AQ12" s="19" t="s">
        <v>57</v>
      </c>
      <c r="AR12" s="19"/>
      <c r="AS12" s="19" t="s">
        <v>44</v>
      </c>
      <c r="AT12" s="19" t="s">
        <v>45</v>
      </c>
      <c r="AU12" s="19"/>
    </row>
    <row r="13" customFormat="false" ht="112.5" hidden="false" customHeight="true" outlineLevel="0" collapsed="false">
      <c r="A13" s="19" t="s">
        <v>58</v>
      </c>
      <c r="B13" s="19" t="s">
        <v>35</v>
      </c>
      <c r="C13" s="19" t="s">
        <v>36</v>
      </c>
      <c r="D13" s="19" t="s">
        <v>59</v>
      </c>
      <c r="E13" s="19" t="s">
        <v>60</v>
      </c>
      <c r="F13" s="21" t="n">
        <f aca="false">SUM(G13+M13+S13+Y13+AD13)</f>
        <v>167525.29391</v>
      </c>
      <c r="G13" s="21" t="n">
        <f aca="false">SUM(H13:L13)</f>
        <v>157525.29391</v>
      </c>
      <c r="H13" s="21" t="n">
        <f aca="false">0+137738.09391</f>
        <v>137738.09391</v>
      </c>
      <c r="I13" s="21" t="n">
        <f aca="false">29787.2-10000</f>
        <v>19787.2</v>
      </c>
      <c r="J13" s="21"/>
      <c r="K13" s="21"/>
      <c r="L13" s="21"/>
      <c r="M13" s="21" t="n">
        <f aca="false">SUM(N13:R13)</f>
        <v>10000</v>
      </c>
      <c r="N13" s="21"/>
      <c r="O13" s="21" t="n">
        <f aca="false">0+10000</f>
        <v>10000</v>
      </c>
      <c r="P13" s="21"/>
      <c r="Q13" s="21"/>
      <c r="R13" s="21"/>
      <c r="S13" s="21" t="n">
        <f aca="false">SUM(T13:X13)</f>
        <v>0</v>
      </c>
      <c r="T13" s="21"/>
      <c r="U13" s="21"/>
      <c r="V13" s="21"/>
      <c r="W13" s="21"/>
      <c r="X13" s="21"/>
      <c r="Y13" s="21" t="n">
        <f aca="false">SUM(Z13:AC13)</f>
        <v>0</v>
      </c>
      <c r="Z13" s="21"/>
      <c r="AA13" s="21"/>
      <c r="AB13" s="21"/>
      <c r="AC13" s="21"/>
      <c r="AD13" s="21" t="n">
        <f aca="false">SUM(AE13:AH13)</f>
        <v>0</v>
      </c>
      <c r="AE13" s="21"/>
      <c r="AF13" s="21"/>
      <c r="AG13" s="21"/>
      <c r="AH13" s="21"/>
      <c r="AI13" s="19" t="s">
        <v>39</v>
      </c>
      <c r="AJ13" s="19" t="s">
        <v>23</v>
      </c>
      <c r="AK13" s="19" t="s">
        <v>61</v>
      </c>
      <c r="AL13" s="19" t="s">
        <v>40</v>
      </c>
      <c r="AM13" s="19" t="s">
        <v>62</v>
      </c>
      <c r="AN13" s="19" t="s">
        <v>63</v>
      </c>
      <c r="AO13" s="19" t="s">
        <v>43</v>
      </c>
      <c r="AP13" s="19" t="s">
        <v>63</v>
      </c>
      <c r="AQ13" s="19" t="s">
        <v>63</v>
      </c>
      <c r="AR13" s="19"/>
      <c r="AS13" s="19" t="s">
        <v>44</v>
      </c>
      <c r="AT13" s="19" t="s">
        <v>45</v>
      </c>
      <c r="AU13" s="19"/>
    </row>
    <row r="14" customFormat="false" ht="99.75" hidden="false" customHeight="true" outlineLevel="0" collapsed="false">
      <c r="A14" s="19" t="s">
        <v>64</v>
      </c>
      <c r="B14" s="19" t="s">
        <v>35</v>
      </c>
      <c r="C14" s="19" t="s">
        <v>36</v>
      </c>
      <c r="D14" s="19" t="s">
        <v>65</v>
      </c>
      <c r="E14" s="19" t="s">
        <v>66</v>
      </c>
      <c r="F14" s="21" t="n">
        <f aca="false">SUM(G14+M14+S14+Y14+AD14)</f>
        <v>73153.9677</v>
      </c>
      <c r="G14" s="21" t="n">
        <f aca="false">SUM(H14:L14)</f>
        <v>25647.80259</v>
      </c>
      <c r="H14" s="21" t="n">
        <f aca="false">0+16989.81338</f>
        <v>16989.81338</v>
      </c>
      <c r="I14" s="21" t="n">
        <f aca="false">26140.59-10000-8000+517.39921</f>
        <v>8657.98921</v>
      </c>
      <c r="J14" s="21"/>
      <c r="K14" s="21"/>
      <c r="L14" s="21"/>
      <c r="M14" s="21" t="n">
        <f aca="false">SUM(N14:R14)</f>
        <v>47506.16511</v>
      </c>
      <c r="N14" s="21" t="n">
        <f aca="false">0+20006.39511</f>
        <v>20006.39511</v>
      </c>
      <c r="O14" s="21" t="n">
        <f aca="false">19499.77+8000</f>
        <v>27499.77</v>
      </c>
      <c r="P14" s="21"/>
      <c r="Q14" s="21"/>
      <c r="R14" s="21"/>
      <c r="S14" s="21" t="n">
        <f aca="false">SUM(T14:X14)</f>
        <v>0</v>
      </c>
      <c r="T14" s="21"/>
      <c r="U14" s="21"/>
      <c r="V14" s="21"/>
      <c r="W14" s="21"/>
      <c r="X14" s="21"/>
      <c r="Y14" s="21" t="n">
        <f aca="false">SUM(Z14:AC14)</f>
        <v>0</v>
      </c>
      <c r="Z14" s="21"/>
      <c r="AA14" s="21"/>
      <c r="AB14" s="21"/>
      <c r="AC14" s="21"/>
      <c r="AD14" s="21" t="n">
        <f aca="false">SUM(AE14:AH14)</f>
        <v>0</v>
      </c>
      <c r="AE14" s="21"/>
      <c r="AF14" s="21"/>
      <c r="AG14" s="21"/>
      <c r="AH14" s="21"/>
      <c r="AI14" s="19" t="s">
        <v>39</v>
      </c>
      <c r="AJ14" s="19" t="s">
        <v>24</v>
      </c>
      <c r="AK14" s="19" t="s">
        <v>67</v>
      </c>
      <c r="AL14" s="19" t="s">
        <v>40</v>
      </c>
      <c r="AM14" s="19" t="s">
        <v>68</v>
      </c>
      <c r="AN14" s="19" t="s">
        <v>63</v>
      </c>
      <c r="AO14" s="19" t="s">
        <v>43</v>
      </c>
      <c r="AP14" s="19" t="s">
        <v>63</v>
      </c>
      <c r="AQ14" s="19" t="s">
        <v>63</v>
      </c>
      <c r="AR14" s="19"/>
      <c r="AS14" s="19" t="s">
        <v>44</v>
      </c>
      <c r="AT14" s="19" t="s">
        <v>45</v>
      </c>
      <c r="AU14" s="19"/>
    </row>
    <row r="15" customFormat="false" ht="99.75" hidden="false" customHeight="true" outlineLevel="0" collapsed="false">
      <c r="A15" s="19" t="s">
        <v>69</v>
      </c>
      <c r="B15" s="19" t="s">
        <v>35</v>
      </c>
      <c r="C15" s="19" t="s">
        <v>36</v>
      </c>
      <c r="D15" s="19" t="s">
        <v>70</v>
      </c>
      <c r="E15" s="19" t="s">
        <v>48</v>
      </c>
      <c r="F15" s="21" t="n">
        <f aca="false">SUM(G15+M15+S15+Y15+AD15)</f>
        <v>60653.39713</v>
      </c>
      <c r="G15" s="21" t="n">
        <f aca="false">SUM(H15:L15)</f>
        <v>11651.64254</v>
      </c>
      <c r="H15" s="21"/>
      <c r="I15" s="21" t="n">
        <f aca="false">7516.15+4135.49254</f>
        <v>11651.64254</v>
      </c>
      <c r="J15" s="21"/>
      <c r="K15" s="21"/>
      <c r="L15" s="21"/>
      <c r="M15" s="21" t="n">
        <f aca="false">SUM(N15:R15)</f>
        <v>49001.75459</v>
      </c>
      <c r="N15" s="21" t="n">
        <f aca="false">0+23251.75459</f>
        <v>23251.75459</v>
      </c>
      <c r="O15" s="21" t="n">
        <v>25750</v>
      </c>
      <c r="P15" s="21"/>
      <c r="Q15" s="21"/>
      <c r="R15" s="21"/>
      <c r="S15" s="21" t="n">
        <f aca="false">SUM(T15:X15)</f>
        <v>0</v>
      </c>
      <c r="T15" s="21"/>
      <c r="U15" s="21"/>
      <c r="V15" s="21"/>
      <c r="W15" s="21"/>
      <c r="X15" s="21"/>
      <c r="Y15" s="21" t="n">
        <f aca="false">SUM(Z15:AC15)</f>
        <v>0</v>
      </c>
      <c r="Z15" s="21"/>
      <c r="AA15" s="21"/>
      <c r="AB15" s="21"/>
      <c r="AC15" s="21"/>
      <c r="AD15" s="21" t="n">
        <f aca="false">SUM(AE15:AH15)</f>
        <v>0</v>
      </c>
      <c r="AE15" s="21"/>
      <c r="AF15" s="21"/>
      <c r="AG15" s="21"/>
      <c r="AH15" s="21"/>
      <c r="AI15" s="19" t="s">
        <v>39</v>
      </c>
      <c r="AJ15" s="19" t="s">
        <v>24</v>
      </c>
      <c r="AK15" s="19" t="s">
        <v>23</v>
      </c>
      <c r="AL15" s="19" t="s">
        <v>40</v>
      </c>
      <c r="AM15" s="19" t="s">
        <v>68</v>
      </c>
      <c r="AN15" s="19" t="s">
        <v>63</v>
      </c>
      <c r="AO15" s="19" t="s">
        <v>43</v>
      </c>
      <c r="AP15" s="19" t="s">
        <v>63</v>
      </c>
      <c r="AQ15" s="19" t="s">
        <v>63</v>
      </c>
      <c r="AR15" s="19"/>
      <c r="AS15" s="19" t="s">
        <v>44</v>
      </c>
      <c r="AT15" s="19" t="s">
        <v>71</v>
      </c>
      <c r="AU15" s="19"/>
    </row>
    <row r="16" customFormat="false" ht="99.75" hidden="false" customHeight="true" outlineLevel="0" collapsed="false">
      <c r="A16" s="19" t="s">
        <v>72</v>
      </c>
      <c r="B16" s="19" t="s">
        <v>35</v>
      </c>
      <c r="C16" s="19" t="s">
        <v>43</v>
      </c>
      <c r="D16" s="19" t="s">
        <v>73</v>
      </c>
      <c r="E16" s="19" t="s">
        <v>74</v>
      </c>
      <c r="F16" s="21" t="n">
        <f aca="false">SUM(G16+M16+S16+Y16+AD16)</f>
        <v>19834.9833</v>
      </c>
      <c r="G16" s="21" t="n">
        <f aca="false">SUM(H16:L16)</f>
        <v>19834.9833</v>
      </c>
      <c r="H16" s="21" t="n">
        <f aca="false">0+27848.22717-8460.05164</f>
        <v>19388.17553</v>
      </c>
      <c r="I16" s="21" t="n">
        <f aca="false">641.77283-194.96506</f>
        <v>446.80777</v>
      </c>
      <c r="J16" s="21"/>
      <c r="K16" s="21"/>
      <c r="L16" s="21"/>
      <c r="M16" s="21" t="n">
        <f aca="false">SUM(N16:R16)</f>
        <v>0</v>
      </c>
      <c r="N16" s="21"/>
      <c r="O16" s="21"/>
      <c r="P16" s="21"/>
      <c r="Q16" s="21"/>
      <c r="R16" s="21"/>
      <c r="S16" s="21" t="n">
        <f aca="false">SUM(T16:X16)</f>
        <v>0</v>
      </c>
      <c r="T16" s="21"/>
      <c r="U16" s="21"/>
      <c r="V16" s="21"/>
      <c r="W16" s="21"/>
      <c r="X16" s="21"/>
      <c r="Y16" s="21" t="n">
        <f aca="false">SUM(Z16:AC16)</f>
        <v>0</v>
      </c>
      <c r="Z16" s="21"/>
      <c r="AA16" s="21"/>
      <c r="AB16" s="21"/>
      <c r="AC16" s="21"/>
      <c r="AD16" s="21" t="n">
        <f aca="false">SUM(AE16:AH16)</f>
        <v>0</v>
      </c>
      <c r="AE16" s="21"/>
      <c r="AF16" s="21"/>
      <c r="AG16" s="21"/>
      <c r="AH16" s="21"/>
      <c r="AI16" s="19" t="s">
        <v>39</v>
      </c>
      <c r="AJ16" s="19" t="s">
        <v>23</v>
      </c>
      <c r="AK16" s="19"/>
      <c r="AL16" s="19" t="s">
        <v>75</v>
      </c>
      <c r="AM16" s="19" t="s">
        <v>76</v>
      </c>
      <c r="AN16" s="19" t="s">
        <v>77</v>
      </c>
      <c r="AO16" s="19" t="s">
        <v>43</v>
      </c>
      <c r="AP16" s="19" t="s">
        <v>77</v>
      </c>
      <c r="AQ16" s="19" t="s">
        <v>77</v>
      </c>
      <c r="AR16" s="19" t="s">
        <v>78</v>
      </c>
      <c r="AS16" s="19" t="s">
        <v>44</v>
      </c>
      <c r="AT16" s="19" t="s">
        <v>79</v>
      </c>
      <c r="AU16" s="19"/>
    </row>
    <row r="17" customFormat="false" ht="99.75" hidden="false" customHeight="true" outlineLevel="0" collapsed="false">
      <c r="A17" s="19" t="s">
        <v>80</v>
      </c>
      <c r="B17" s="19" t="s">
        <v>35</v>
      </c>
      <c r="C17" s="19" t="s">
        <v>36</v>
      </c>
      <c r="D17" s="19" t="s">
        <v>81</v>
      </c>
      <c r="E17" s="19" t="s">
        <v>82</v>
      </c>
      <c r="F17" s="21" t="n">
        <f aca="false">SUM(G17+M17+S17+Y17+AD17)</f>
        <v>1024665.83226</v>
      </c>
      <c r="G17" s="21" t="n">
        <f aca="false">SUM(H17:L17)</f>
        <v>17877.005</v>
      </c>
      <c r="H17" s="21" t="n">
        <f aca="false">0+97747.37504-97747.37504</f>
        <v>0</v>
      </c>
      <c r="I17" s="21" t="n">
        <f aca="false">121066.72-71189.715-34000+2000</f>
        <v>17877.005</v>
      </c>
      <c r="J17" s="21"/>
      <c r="K17" s="21"/>
      <c r="L17" s="21"/>
      <c r="M17" s="21" t="n">
        <f aca="false">SUM(N17:R17)</f>
        <v>1006788.82726</v>
      </c>
      <c r="N17" s="21" t="n">
        <f aca="false">0+433776.51726</f>
        <v>433776.51726</v>
      </c>
      <c r="O17" s="21" t="n">
        <f aca="false">744012.31-171000</f>
        <v>573012.31</v>
      </c>
      <c r="P17" s="21"/>
      <c r="Q17" s="21"/>
      <c r="R17" s="21"/>
      <c r="S17" s="21" t="n">
        <f aca="false">SUM(T17:X17)</f>
        <v>0</v>
      </c>
      <c r="T17" s="21"/>
      <c r="U17" s="21"/>
      <c r="V17" s="21"/>
      <c r="W17" s="21"/>
      <c r="X17" s="21"/>
      <c r="Y17" s="21" t="n">
        <f aca="false">SUM(Z17:AC17)</f>
        <v>0</v>
      </c>
      <c r="Z17" s="21"/>
      <c r="AA17" s="21"/>
      <c r="AB17" s="21"/>
      <c r="AC17" s="21"/>
      <c r="AD17" s="21" t="n">
        <f aca="false">SUM(AE17:AH17)</f>
        <v>0</v>
      </c>
      <c r="AE17" s="21"/>
      <c r="AF17" s="21"/>
      <c r="AG17" s="21"/>
      <c r="AH17" s="21"/>
      <c r="AI17" s="19" t="s">
        <v>39</v>
      </c>
      <c r="AJ17" s="19" t="s">
        <v>24</v>
      </c>
      <c r="AK17" s="19" t="s">
        <v>61</v>
      </c>
      <c r="AL17" s="19" t="s">
        <v>40</v>
      </c>
      <c r="AM17" s="19" t="s">
        <v>83</v>
      </c>
      <c r="AN17" s="19" t="s">
        <v>63</v>
      </c>
      <c r="AO17" s="19" t="s">
        <v>43</v>
      </c>
      <c r="AP17" s="19" t="s">
        <v>63</v>
      </c>
      <c r="AQ17" s="19" t="s">
        <v>63</v>
      </c>
      <c r="AR17" s="19"/>
      <c r="AS17" s="19" t="s">
        <v>44</v>
      </c>
      <c r="AT17" s="19" t="s">
        <v>45</v>
      </c>
      <c r="AU17" s="19"/>
    </row>
    <row r="18" customFormat="false" ht="99.75" hidden="false" customHeight="true" outlineLevel="0" collapsed="false">
      <c r="A18" s="19" t="s">
        <v>84</v>
      </c>
      <c r="B18" s="19" t="s">
        <v>35</v>
      </c>
      <c r="C18" s="19" t="s">
        <v>36</v>
      </c>
      <c r="D18" s="19" t="s">
        <v>85</v>
      </c>
      <c r="E18" s="19" t="s">
        <v>86</v>
      </c>
      <c r="F18" s="21" t="n">
        <f aca="false">SUM(G18+M18+S18+Y18+AD18)</f>
        <v>662112.06955</v>
      </c>
      <c r="G18" s="21" t="n">
        <f aca="false">SUM(H18:L18)</f>
        <v>5877.00500000001</v>
      </c>
      <c r="H18" s="21" t="n">
        <f aca="false">0+15799.1079-15799.1079</f>
        <v>0</v>
      </c>
      <c r="I18" s="21" t="n">
        <f aca="false">593846.64-393000-150969.635-34000-10000</f>
        <v>5877.00500000001</v>
      </c>
      <c r="J18" s="21"/>
      <c r="K18" s="21"/>
      <c r="L18" s="21"/>
      <c r="M18" s="21" t="n">
        <f aca="false">SUM(N18:R18)</f>
        <v>656235.06455</v>
      </c>
      <c r="N18" s="21" t="n">
        <f aca="false">0+443984.65455</f>
        <v>443984.65455</v>
      </c>
      <c r="O18" s="21" t="n">
        <f aca="false">438770.41+393000-345000-1520-55000-68000-150000</f>
        <v>212250.41</v>
      </c>
      <c r="P18" s="21"/>
      <c r="Q18" s="21"/>
      <c r="R18" s="21"/>
      <c r="S18" s="21" t="n">
        <f aca="false">SUM(T18:X18)</f>
        <v>0</v>
      </c>
      <c r="T18" s="21"/>
      <c r="U18" s="21"/>
      <c r="V18" s="21"/>
      <c r="W18" s="21"/>
      <c r="X18" s="21"/>
      <c r="Y18" s="21" t="n">
        <f aca="false">SUM(Z18:AC18)</f>
        <v>0</v>
      </c>
      <c r="Z18" s="21"/>
      <c r="AA18" s="21"/>
      <c r="AB18" s="21"/>
      <c r="AC18" s="21"/>
      <c r="AD18" s="21" t="n">
        <f aca="false">SUM(AE18:AH18)</f>
        <v>0</v>
      </c>
      <c r="AE18" s="21"/>
      <c r="AF18" s="21"/>
      <c r="AG18" s="21"/>
      <c r="AH18" s="21"/>
      <c r="AI18" s="22" t="s">
        <v>39</v>
      </c>
      <c r="AJ18" s="19" t="s">
        <v>24</v>
      </c>
      <c r="AK18" s="19" t="s">
        <v>61</v>
      </c>
      <c r="AL18" s="19" t="s">
        <v>40</v>
      </c>
      <c r="AM18" s="19" t="s">
        <v>83</v>
      </c>
      <c r="AN18" s="19" t="s">
        <v>63</v>
      </c>
      <c r="AO18" s="19" t="s">
        <v>43</v>
      </c>
      <c r="AP18" s="19" t="s">
        <v>63</v>
      </c>
      <c r="AQ18" s="19" t="s">
        <v>63</v>
      </c>
      <c r="AR18" s="19"/>
      <c r="AS18" s="19" t="s">
        <v>44</v>
      </c>
      <c r="AT18" s="19" t="s">
        <v>45</v>
      </c>
      <c r="AU18" s="19"/>
    </row>
    <row r="19" customFormat="false" ht="99.75" hidden="false" customHeight="true" outlineLevel="0" collapsed="false">
      <c r="A19" s="19" t="s">
        <v>87</v>
      </c>
      <c r="B19" s="19" t="s">
        <v>35</v>
      </c>
      <c r="C19" s="19" t="s">
        <v>36</v>
      </c>
      <c r="D19" s="19" t="s">
        <v>88</v>
      </c>
      <c r="E19" s="19" t="s">
        <v>74</v>
      </c>
      <c r="F19" s="21" t="n">
        <f aca="false">SUM(G19+M19+S19+Y19+AD19)</f>
        <v>243490.70707</v>
      </c>
      <c r="G19" s="21" t="n">
        <f aca="false">SUM(H19:L19)</f>
        <v>243490.70707</v>
      </c>
      <c r="H19" s="21" t="n">
        <f aca="false">0+231155.8</f>
        <v>231155.8</v>
      </c>
      <c r="I19" s="21" t="n">
        <f aca="false">2334.90707+10000</f>
        <v>12334.90707</v>
      </c>
      <c r="J19" s="21"/>
      <c r="K19" s="21"/>
      <c r="L19" s="21"/>
      <c r="M19" s="21" t="n">
        <f aca="false">SUM(N19:R19)</f>
        <v>0</v>
      </c>
      <c r="N19" s="21"/>
      <c r="O19" s="21"/>
      <c r="P19" s="21"/>
      <c r="Q19" s="21"/>
      <c r="R19" s="21"/>
      <c r="S19" s="21" t="n">
        <f aca="false">SUM(T19:X19)</f>
        <v>0</v>
      </c>
      <c r="T19" s="21"/>
      <c r="U19" s="21"/>
      <c r="V19" s="21"/>
      <c r="W19" s="21"/>
      <c r="X19" s="21"/>
      <c r="Y19" s="21" t="n">
        <f aca="false">SUM(Z19:AC19)</f>
        <v>0</v>
      </c>
      <c r="Z19" s="21"/>
      <c r="AA19" s="21"/>
      <c r="AB19" s="21"/>
      <c r="AC19" s="21"/>
      <c r="AD19" s="21" t="n">
        <f aca="false">SUM(AE19:AH19)</f>
        <v>0</v>
      </c>
      <c r="AE19" s="21"/>
      <c r="AF19" s="21"/>
      <c r="AG19" s="21"/>
      <c r="AH19" s="21"/>
      <c r="AI19" s="23" t="s">
        <v>89</v>
      </c>
      <c r="AJ19" s="19"/>
      <c r="AK19" s="19" t="s">
        <v>67</v>
      </c>
      <c r="AL19" s="19" t="s">
        <v>40</v>
      </c>
      <c r="AM19" s="19" t="s">
        <v>90</v>
      </c>
      <c r="AN19" s="19" t="s">
        <v>63</v>
      </c>
      <c r="AO19" s="19" t="s">
        <v>43</v>
      </c>
      <c r="AP19" s="19" t="s">
        <v>63</v>
      </c>
      <c r="AQ19" s="19" t="s">
        <v>63</v>
      </c>
      <c r="AR19" s="19"/>
      <c r="AS19" s="19" t="s">
        <v>44</v>
      </c>
      <c r="AT19" s="19" t="s">
        <v>71</v>
      </c>
      <c r="AU19" s="19"/>
    </row>
    <row r="20" customFormat="false" ht="99.75" hidden="false" customHeight="true" outlineLevel="0" collapsed="false">
      <c r="A20" s="19" t="s">
        <v>91</v>
      </c>
      <c r="B20" s="19" t="s">
        <v>35</v>
      </c>
      <c r="C20" s="19" t="s">
        <v>36</v>
      </c>
      <c r="D20" s="19" t="s">
        <v>92</v>
      </c>
      <c r="E20" s="19" t="s">
        <v>93</v>
      </c>
      <c r="F20" s="21" t="n">
        <f aca="false">SUM(G20+M20+S20+Y20+AD20)</f>
        <v>5171054.41292</v>
      </c>
      <c r="G20" s="21" t="n">
        <f aca="false">SUM(H20:L20)</f>
        <v>5171054.41292</v>
      </c>
      <c r="H20" s="21" t="n">
        <f aca="false">0+1234557.5+2266621.7+925651.4</f>
        <v>4426830.6</v>
      </c>
      <c r="I20" s="21" t="n">
        <f aca="false">250000+910000+437749.39224-127776.18712-487749.3922-40000-198000</f>
        <v>744223.81292</v>
      </c>
      <c r="J20" s="21"/>
      <c r="K20" s="21"/>
      <c r="L20" s="21"/>
      <c r="M20" s="21" t="n">
        <f aca="false">SUM(N20:R20)</f>
        <v>0</v>
      </c>
      <c r="N20" s="21"/>
      <c r="O20" s="21"/>
      <c r="P20" s="21"/>
      <c r="Q20" s="21"/>
      <c r="R20" s="21"/>
      <c r="S20" s="21" t="n">
        <f aca="false">SUM(T20:X20)</f>
        <v>0</v>
      </c>
      <c r="T20" s="21"/>
      <c r="U20" s="21"/>
      <c r="V20" s="21"/>
      <c r="W20" s="21"/>
      <c r="X20" s="21"/>
      <c r="Y20" s="21" t="n">
        <f aca="false">SUM(Z20:AC20)</f>
        <v>0</v>
      </c>
      <c r="Z20" s="21"/>
      <c r="AA20" s="21"/>
      <c r="AB20" s="21"/>
      <c r="AC20" s="21"/>
      <c r="AD20" s="21" t="n">
        <f aca="false">SUM(AE20:AH20)</f>
        <v>0</v>
      </c>
      <c r="AE20" s="21"/>
      <c r="AF20" s="21"/>
      <c r="AG20" s="21"/>
      <c r="AH20" s="21"/>
      <c r="AI20" s="23" t="s">
        <v>89</v>
      </c>
      <c r="AJ20" s="19" t="s">
        <v>24</v>
      </c>
      <c r="AK20" s="19"/>
      <c r="AL20" s="19" t="s">
        <v>40</v>
      </c>
      <c r="AM20" s="19" t="s">
        <v>94</v>
      </c>
      <c r="AN20" s="19" t="s">
        <v>63</v>
      </c>
      <c r="AO20" s="19" t="s">
        <v>43</v>
      </c>
      <c r="AP20" s="19" t="s">
        <v>63</v>
      </c>
      <c r="AQ20" s="19" t="s">
        <v>63</v>
      </c>
      <c r="AR20" s="19" t="s">
        <v>95</v>
      </c>
      <c r="AS20" s="19" t="s">
        <v>44</v>
      </c>
      <c r="AT20" s="19" t="s">
        <v>96</v>
      </c>
      <c r="AU20" s="19" t="s">
        <v>97</v>
      </c>
    </row>
    <row r="21" customFormat="false" ht="99.75" hidden="false" customHeight="true" outlineLevel="0" collapsed="false">
      <c r="A21" s="19" t="s">
        <v>98</v>
      </c>
      <c r="B21" s="22" t="s">
        <v>35</v>
      </c>
      <c r="C21" s="22" t="s">
        <v>36</v>
      </c>
      <c r="D21" s="22" t="s">
        <v>99</v>
      </c>
      <c r="E21" s="22" t="s">
        <v>93</v>
      </c>
      <c r="F21" s="24" t="n">
        <f aca="false">SUM(G21+M21+S21+Y21+AD21)</f>
        <v>127776.18712</v>
      </c>
      <c r="G21" s="24" t="n">
        <f aca="false">SUM(H21:L21)</f>
        <v>127776.18712</v>
      </c>
      <c r="H21" s="24" t="n">
        <v>0</v>
      </c>
      <c r="I21" s="24" t="n">
        <v>127776.18712</v>
      </c>
      <c r="J21" s="24"/>
      <c r="K21" s="24"/>
      <c r="L21" s="24"/>
      <c r="M21" s="24" t="n">
        <f aca="false">SUM(N21:R21)</f>
        <v>0</v>
      </c>
      <c r="N21" s="24"/>
      <c r="O21" s="24"/>
      <c r="P21" s="24"/>
      <c r="Q21" s="24"/>
      <c r="R21" s="24"/>
      <c r="S21" s="24" t="n">
        <f aca="false">SUM(T21:X21)</f>
        <v>0</v>
      </c>
      <c r="T21" s="24"/>
      <c r="U21" s="24"/>
      <c r="V21" s="24"/>
      <c r="W21" s="24"/>
      <c r="X21" s="24"/>
      <c r="Y21" s="24" t="n">
        <f aca="false">SUM(Z21:AC21)</f>
        <v>0</v>
      </c>
      <c r="Z21" s="24"/>
      <c r="AA21" s="24"/>
      <c r="AB21" s="24"/>
      <c r="AC21" s="24"/>
      <c r="AD21" s="24" t="n">
        <f aca="false">SUM(AE21:AH21)</f>
        <v>0</v>
      </c>
      <c r="AE21" s="24"/>
      <c r="AF21" s="24"/>
      <c r="AG21" s="24"/>
      <c r="AH21" s="24"/>
      <c r="AI21" s="25" t="s">
        <v>89</v>
      </c>
      <c r="AJ21" s="22" t="s">
        <v>23</v>
      </c>
      <c r="AK21" s="22"/>
      <c r="AL21" s="22" t="s">
        <v>40</v>
      </c>
      <c r="AM21" s="22" t="s">
        <v>100</v>
      </c>
      <c r="AN21" s="22" t="s">
        <v>63</v>
      </c>
      <c r="AO21" s="22" t="s">
        <v>43</v>
      </c>
      <c r="AP21" s="22" t="s">
        <v>63</v>
      </c>
      <c r="AQ21" s="22" t="s">
        <v>63</v>
      </c>
      <c r="AR21" s="22" t="s">
        <v>101</v>
      </c>
      <c r="AS21" s="19" t="s">
        <v>44</v>
      </c>
      <c r="AT21" s="22" t="s">
        <v>96</v>
      </c>
      <c r="AU21" s="22" t="s">
        <v>102</v>
      </c>
    </row>
    <row r="22" customFormat="false" ht="99.75" hidden="false" customHeight="true" outlineLevel="0" collapsed="false">
      <c r="A22" s="19" t="s">
        <v>103</v>
      </c>
      <c r="B22" s="19" t="s">
        <v>35</v>
      </c>
      <c r="C22" s="19" t="s">
        <v>36</v>
      </c>
      <c r="D22" s="19" t="s">
        <v>104</v>
      </c>
      <c r="E22" s="19" t="s">
        <v>105</v>
      </c>
      <c r="F22" s="21" t="n">
        <f aca="false">SUM(G22+M22+S22+Y22+AD22)</f>
        <v>4662.93366</v>
      </c>
      <c r="G22" s="21" t="n">
        <f aca="false">SUM(H22:L22)</f>
        <v>0</v>
      </c>
      <c r="H22" s="21"/>
      <c r="I22" s="21"/>
      <c r="J22" s="21"/>
      <c r="K22" s="21"/>
      <c r="L22" s="21"/>
      <c r="M22" s="21" t="n">
        <f aca="false">SUM(N22:R22)</f>
        <v>4662.93366</v>
      </c>
      <c r="N22" s="21"/>
      <c r="O22" s="21" t="n">
        <v>4662.93366</v>
      </c>
      <c r="P22" s="21"/>
      <c r="Q22" s="21"/>
      <c r="R22" s="21"/>
      <c r="S22" s="21" t="n">
        <f aca="false">SUM(T22:X22)</f>
        <v>0</v>
      </c>
      <c r="T22" s="21"/>
      <c r="U22" s="21"/>
      <c r="V22" s="21"/>
      <c r="W22" s="21"/>
      <c r="X22" s="21"/>
      <c r="Y22" s="21" t="n">
        <f aca="false">SUM(Z22:AC22)</f>
        <v>0</v>
      </c>
      <c r="Z22" s="21"/>
      <c r="AA22" s="21"/>
      <c r="AB22" s="21"/>
      <c r="AC22" s="21"/>
      <c r="AD22" s="21" t="n">
        <f aca="false">SUM(AE22:AH22)</f>
        <v>0</v>
      </c>
      <c r="AE22" s="21"/>
      <c r="AF22" s="21"/>
      <c r="AG22" s="21"/>
      <c r="AH22" s="21"/>
      <c r="AI22" s="19" t="s">
        <v>55</v>
      </c>
      <c r="AJ22" s="19" t="s">
        <v>25</v>
      </c>
      <c r="AK22" s="19" t="s">
        <v>23</v>
      </c>
      <c r="AL22" s="19" t="s">
        <v>40</v>
      </c>
      <c r="AM22" s="19" t="s">
        <v>106</v>
      </c>
      <c r="AN22" s="19" t="s">
        <v>63</v>
      </c>
      <c r="AO22" s="19" t="s">
        <v>43</v>
      </c>
      <c r="AP22" s="19" t="s">
        <v>63</v>
      </c>
      <c r="AQ22" s="19" t="s">
        <v>63</v>
      </c>
      <c r="AR22" s="19"/>
      <c r="AS22" s="19" t="s">
        <v>44</v>
      </c>
      <c r="AT22" s="19" t="s">
        <v>45</v>
      </c>
      <c r="AU22" s="19"/>
    </row>
    <row r="23" customFormat="false" ht="99.75" hidden="false" customHeight="true" outlineLevel="0" collapsed="false">
      <c r="A23" s="19" t="s">
        <v>107</v>
      </c>
      <c r="B23" s="19" t="s">
        <v>35</v>
      </c>
      <c r="C23" s="19" t="s">
        <v>36</v>
      </c>
      <c r="D23" s="19" t="s">
        <v>108</v>
      </c>
      <c r="E23" s="19" t="s">
        <v>66</v>
      </c>
      <c r="F23" s="21" t="n">
        <f aca="false">SUM(G23+M23+S23+Y23+AD23)</f>
        <v>1661.70735</v>
      </c>
      <c r="G23" s="21" t="n">
        <f aca="false">SUM(H23:L23)</f>
        <v>0</v>
      </c>
      <c r="H23" s="21"/>
      <c r="I23" s="21"/>
      <c r="J23" s="21"/>
      <c r="K23" s="21"/>
      <c r="L23" s="21"/>
      <c r="M23" s="21" t="n">
        <f aca="false">SUM(N23:R23)</f>
        <v>1661.70735</v>
      </c>
      <c r="N23" s="21"/>
      <c r="O23" s="21" t="n">
        <v>1661.70735</v>
      </c>
      <c r="P23" s="21"/>
      <c r="Q23" s="21"/>
      <c r="R23" s="21"/>
      <c r="S23" s="21" t="n">
        <f aca="false">SUM(T23:X23)</f>
        <v>0</v>
      </c>
      <c r="T23" s="21"/>
      <c r="U23" s="21"/>
      <c r="V23" s="21"/>
      <c r="W23" s="21"/>
      <c r="X23" s="21"/>
      <c r="Y23" s="21" t="n">
        <f aca="false">SUM(Z23:AC23)</f>
        <v>0</v>
      </c>
      <c r="Z23" s="21"/>
      <c r="AA23" s="21"/>
      <c r="AB23" s="21"/>
      <c r="AC23" s="21"/>
      <c r="AD23" s="21" t="n">
        <f aca="false">SUM(AE23:AH23)</f>
        <v>0</v>
      </c>
      <c r="AE23" s="21"/>
      <c r="AF23" s="21"/>
      <c r="AG23" s="21"/>
      <c r="AH23" s="21"/>
      <c r="AI23" s="19" t="s">
        <v>55</v>
      </c>
      <c r="AJ23" s="19" t="s">
        <v>24</v>
      </c>
      <c r="AK23" s="19"/>
      <c r="AL23" s="19" t="s">
        <v>40</v>
      </c>
      <c r="AM23" s="19" t="s">
        <v>56</v>
      </c>
      <c r="AN23" s="19" t="s">
        <v>63</v>
      </c>
      <c r="AO23" s="19" t="s">
        <v>43</v>
      </c>
      <c r="AP23" s="19" t="s">
        <v>63</v>
      </c>
      <c r="AQ23" s="19" t="s">
        <v>63</v>
      </c>
      <c r="AR23" s="19"/>
      <c r="AS23" s="19" t="s">
        <v>44</v>
      </c>
      <c r="AT23" s="19" t="s">
        <v>45</v>
      </c>
      <c r="AU23" s="19"/>
    </row>
    <row r="24" customFormat="false" ht="99.75" hidden="false" customHeight="true" outlineLevel="0" collapsed="false">
      <c r="A24" s="19" t="s">
        <v>109</v>
      </c>
      <c r="B24" s="19" t="s">
        <v>35</v>
      </c>
      <c r="C24" s="19" t="s">
        <v>36</v>
      </c>
      <c r="D24" s="19" t="s">
        <v>110</v>
      </c>
      <c r="E24" s="19" t="s">
        <v>111</v>
      </c>
      <c r="F24" s="21" t="n">
        <f aca="false">SUM(G24+M24+S24+Y24+AD24)</f>
        <v>17869.331</v>
      </c>
      <c r="G24" s="21" t="n">
        <f aca="false">SUM(H24:L24)</f>
        <v>17869.331</v>
      </c>
      <c r="H24" s="21" t="n">
        <f aca="false">0+7869.331</f>
        <v>7869.331</v>
      </c>
      <c r="I24" s="21" t="n">
        <f aca="false">0+20000-10000</f>
        <v>10000</v>
      </c>
      <c r="J24" s="21"/>
      <c r="K24" s="21"/>
      <c r="L24" s="21"/>
      <c r="M24" s="21" t="n">
        <f aca="false">SUM(N24:R24)</f>
        <v>0</v>
      </c>
      <c r="N24" s="21"/>
      <c r="O24" s="21"/>
      <c r="P24" s="21"/>
      <c r="Q24" s="21"/>
      <c r="R24" s="21"/>
      <c r="S24" s="21" t="n">
        <f aca="false">SUM(T24:X24)</f>
        <v>0</v>
      </c>
      <c r="T24" s="21"/>
      <c r="U24" s="21"/>
      <c r="V24" s="21"/>
      <c r="W24" s="21"/>
      <c r="X24" s="21"/>
      <c r="Y24" s="21" t="n">
        <f aca="false">SUM(Z24:AC24)</f>
        <v>0</v>
      </c>
      <c r="Z24" s="21"/>
      <c r="AA24" s="21"/>
      <c r="AB24" s="21"/>
      <c r="AC24" s="21"/>
      <c r="AD24" s="21" t="n">
        <f aca="false">SUM(AE24:AH24)</f>
        <v>0</v>
      </c>
      <c r="AE24" s="21"/>
      <c r="AF24" s="21"/>
      <c r="AG24" s="21"/>
      <c r="AH24" s="21"/>
      <c r="AI24" s="22" t="s">
        <v>39</v>
      </c>
      <c r="AJ24" s="19" t="s">
        <v>23</v>
      </c>
      <c r="AK24" s="19"/>
      <c r="AL24" s="19" t="s">
        <v>40</v>
      </c>
      <c r="AM24" s="26" t="s">
        <v>76</v>
      </c>
      <c r="AN24" s="19" t="s">
        <v>42</v>
      </c>
      <c r="AO24" s="19" t="s">
        <v>43</v>
      </c>
      <c r="AP24" s="19" t="s">
        <v>42</v>
      </c>
      <c r="AQ24" s="19" t="s">
        <v>42</v>
      </c>
      <c r="AR24" s="19" t="s">
        <v>112</v>
      </c>
      <c r="AS24" s="19" t="s">
        <v>44</v>
      </c>
      <c r="AT24" s="19" t="s">
        <v>96</v>
      </c>
      <c r="AU24" s="19" t="s">
        <v>113</v>
      </c>
    </row>
    <row r="25" customFormat="false" ht="99.75" hidden="false" customHeight="true" outlineLevel="0" collapsed="false">
      <c r="A25" s="19" t="s">
        <v>114</v>
      </c>
      <c r="B25" s="19" t="s">
        <v>35</v>
      </c>
      <c r="C25" s="19" t="s">
        <v>36</v>
      </c>
      <c r="D25" s="19" t="s">
        <v>115</v>
      </c>
      <c r="E25" s="19" t="s">
        <v>116</v>
      </c>
      <c r="F25" s="21" t="n">
        <f aca="false">SUM(G25+M25+S25+Y25+AD25)</f>
        <v>9955.97127</v>
      </c>
      <c r="G25" s="21" t="n">
        <f aca="false">SUM(H25:L25)</f>
        <v>9955.97127</v>
      </c>
      <c r="H25" s="21" t="n">
        <f aca="false">0+9520.054</f>
        <v>9520.054</v>
      </c>
      <c r="I25" s="21" t="n">
        <f aca="false">0+13500-5000-8092.10064+28.01791</f>
        <v>435.91727</v>
      </c>
      <c r="J25" s="21"/>
      <c r="K25" s="21"/>
      <c r="L25" s="21"/>
      <c r="M25" s="21" t="n">
        <f aca="false">SUM(N25:R25)</f>
        <v>0</v>
      </c>
      <c r="N25" s="21"/>
      <c r="O25" s="21"/>
      <c r="P25" s="21"/>
      <c r="Q25" s="21"/>
      <c r="R25" s="21"/>
      <c r="S25" s="21" t="n">
        <f aca="false">SUM(T25:X25)</f>
        <v>0</v>
      </c>
      <c r="T25" s="21"/>
      <c r="U25" s="21"/>
      <c r="V25" s="21"/>
      <c r="W25" s="21"/>
      <c r="X25" s="21"/>
      <c r="Y25" s="21" t="n">
        <f aca="false">SUM(Z25:AC25)</f>
        <v>0</v>
      </c>
      <c r="Z25" s="21"/>
      <c r="AA25" s="21"/>
      <c r="AB25" s="21"/>
      <c r="AC25" s="21"/>
      <c r="AD25" s="21" t="n">
        <f aca="false">SUM(AE25:AH25)</f>
        <v>0</v>
      </c>
      <c r="AE25" s="21"/>
      <c r="AF25" s="21"/>
      <c r="AG25" s="21"/>
      <c r="AH25" s="21"/>
      <c r="AI25" s="22" t="s">
        <v>39</v>
      </c>
      <c r="AJ25" s="19" t="s">
        <v>23</v>
      </c>
      <c r="AK25" s="19"/>
      <c r="AL25" s="19" t="s">
        <v>40</v>
      </c>
      <c r="AM25" s="26" t="s">
        <v>76</v>
      </c>
      <c r="AN25" s="19" t="s">
        <v>42</v>
      </c>
      <c r="AO25" s="19" t="s">
        <v>43</v>
      </c>
      <c r="AP25" s="19" t="s">
        <v>42</v>
      </c>
      <c r="AQ25" s="19" t="s">
        <v>42</v>
      </c>
      <c r="AR25" s="19" t="s">
        <v>117</v>
      </c>
      <c r="AS25" s="19" t="s">
        <v>44</v>
      </c>
      <c r="AT25" s="19" t="s">
        <v>96</v>
      </c>
      <c r="AU25" s="19" t="s">
        <v>118</v>
      </c>
    </row>
    <row r="26" customFormat="false" ht="99.75" hidden="false" customHeight="true" outlineLevel="0" collapsed="false">
      <c r="A26" s="19" t="s">
        <v>119</v>
      </c>
      <c r="B26" s="19" t="s">
        <v>120</v>
      </c>
      <c r="C26" s="19" t="s">
        <v>36</v>
      </c>
      <c r="D26" s="19" t="s">
        <v>121</v>
      </c>
      <c r="E26" s="19" t="s">
        <v>122</v>
      </c>
      <c r="F26" s="21" t="n">
        <f aca="false">SUM(G26+M26+S26+Y26+AD26)</f>
        <v>976277.871</v>
      </c>
      <c r="G26" s="21" t="n">
        <f aca="false">SUM(H26:L26)</f>
        <v>976277.871</v>
      </c>
      <c r="H26" s="21" t="n">
        <f aca="false">325835.7+196320.4</f>
        <v>522156.1</v>
      </c>
      <c r="I26" s="21" t="n">
        <f aca="false">570621.771-13500-75000-15000-5000-10000-38000+40000</f>
        <v>454121.771</v>
      </c>
      <c r="J26" s="21"/>
      <c r="K26" s="21"/>
      <c r="L26" s="21"/>
      <c r="M26" s="21" t="n">
        <f aca="false">SUM(N26:R26)</f>
        <v>0</v>
      </c>
      <c r="N26" s="21"/>
      <c r="O26" s="21"/>
      <c r="P26" s="21"/>
      <c r="Q26" s="21"/>
      <c r="R26" s="21"/>
      <c r="S26" s="21" t="n">
        <f aca="false">SUM(T26:X26)</f>
        <v>0</v>
      </c>
      <c r="T26" s="21"/>
      <c r="U26" s="21"/>
      <c r="V26" s="21"/>
      <c r="W26" s="21"/>
      <c r="X26" s="21"/>
      <c r="Y26" s="21" t="n">
        <f aca="false">SUM(Z26:AC26)</f>
        <v>0</v>
      </c>
      <c r="Z26" s="21"/>
      <c r="AA26" s="21"/>
      <c r="AB26" s="21"/>
      <c r="AC26" s="21"/>
      <c r="AD26" s="21" t="n">
        <f aca="false">SUM(AE26:AH26)</f>
        <v>0</v>
      </c>
      <c r="AE26" s="21"/>
      <c r="AF26" s="21"/>
      <c r="AG26" s="21"/>
      <c r="AH26" s="21"/>
      <c r="AI26" s="19" t="s">
        <v>123</v>
      </c>
      <c r="AJ26" s="19" t="s">
        <v>23</v>
      </c>
      <c r="AK26" s="19"/>
      <c r="AL26" s="19" t="s">
        <v>40</v>
      </c>
      <c r="AM26" s="19" t="s">
        <v>124</v>
      </c>
      <c r="AN26" s="19" t="s">
        <v>57</v>
      </c>
      <c r="AO26" s="19" t="s">
        <v>125</v>
      </c>
      <c r="AP26" s="19" t="s">
        <v>57</v>
      </c>
      <c r="AQ26" s="19" t="s">
        <v>57</v>
      </c>
      <c r="AR26" s="19" t="s">
        <v>126</v>
      </c>
      <c r="AS26" s="19" t="s">
        <v>44</v>
      </c>
      <c r="AT26" s="19" t="s">
        <v>96</v>
      </c>
      <c r="AU26" s="19" t="s">
        <v>127</v>
      </c>
    </row>
    <row r="27" customFormat="false" ht="99.75" hidden="false" customHeight="true" outlineLevel="0" collapsed="false">
      <c r="A27" s="19" t="s">
        <v>128</v>
      </c>
      <c r="B27" s="19" t="s">
        <v>120</v>
      </c>
      <c r="C27" s="19" t="s">
        <v>36</v>
      </c>
      <c r="D27" s="19" t="s">
        <v>129</v>
      </c>
      <c r="E27" s="19" t="s">
        <v>74</v>
      </c>
      <c r="F27" s="21" t="n">
        <f aca="false">SUM(G27+M27+S27+Y27+AD27)</f>
        <v>6250</v>
      </c>
      <c r="G27" s="21" t="n">
        <f aca="false">SUM(H27:L27)</f>
        <v>6250</v>
      </c>
      <c r="H27" s="21"/>
      <c r="I27" s="21" t="n">
        <f aca="false">3600+87500-84850</f>
        <v>6250</v>
      </c>
      <c r="J27" s="21"/>
      <c r="K27" s="21"/>
      <c r="L27" s="21"/>
      <c r="M27" s="21" t="n">
        <f aca="false">SUM(N27:R27)</f>
        <v>0</v>
      </c>
      <c r="N27" s="21"/>
      <c r="O27" s="21"/>
      <c r="P27" s="21"/>
      <c r="Q27" s="21"/>
      <c r="R27" s="21"/>
      <c r="S27" s="21" t="n">
        <f aca="false">SUM(T27:X27)</f>
        <v>0</v>
      </c>
      <c r="T27" s="21"/>
      <c r="U27" s="21"/>
      <c r="V27" s="21"/>
      <c r="W27" s="21"/>
      <c r="X27" s="21"/>
      <c r="Y27" s="21" t="n">
        <f aca="false">SUM(Z27:AC27)</f>
        <v>0</v>
      </c>
      <c r="Z27" s="21"/>
      <c r="AA27" s="21"/>
      <c r="AB27" s="21"/>
      <c r="AC27" s="21"/>
      <c r="AD27" s="21" t="n">
        <f aca="false">SUM(AE27:AH27)</f>
        <v>0</v>
      </c>
      <c r="AE27" s="21"/>
      <c r="AF27" s="21"/>
      <c r="AG27" s="21"/>
      <c r="AH27" s="21"/>
      <c r="AI27" s="23" t="s">
        <v>130</v>
      </c>
      <c r="AJ27" s="19"/>
      <c r="AK27" s="19" t="s">
        <v>23</v>
      </c>
      <c r="AL27" s="19" t="s">
        <v>40</v>
      </c>
      <c r="AM27" s="19" t="s">
        <v>131</v>
      </c>
      <c r="AN27" s="19" t="s">
        <v>57</v>
      </c>
      <c r="AO27" s="19" t="s">
        <v>125</v>
      </c>
      <c r="AP27" s="19" t="s">
        <v>57</v>
      </c>
      <c r="AQ27" s="19" t="s">
        <v>57</v>
      </c>
      <c r="AR27" s="19"/>
      <c r="AS27" s="19" t="s">
        <v>44</v>
      </c>
      <c r="AT27" s="19" t="s">
        <v>71</v>
      </c>
      <c r="AU27" s="19"/>
    </row>
    <row r="28" customFormat="false" ht="99.75" hidden="false" customHeight="true" outlineLevel="0" collapsed="false">
      <c r="A28" s="19" t="s">
        <v>132</v>
      </c>
      <c r="B28" s="19" t="s">
        <v>120</v>
      </c>
      <c r="C28" s="19" t="s">
        <v>36</v>
      </c>
      <c r="D28" s="19" t="s">
        <v>133</v>
      </c>
      <c r="E28" s="19" t="s">
        <v>74</v>
      </c>
      <c r="F28" s="21" t="n">
        <f aca="false">SUM(G28+M28+S28+Y28+AD28)</f>
        <v>524330</v>
      </c>
      <c r="G28" s="21" t="n">
        <f aca="false">SUM(H28:L28)</f>
        <v>297810</v>
      </c>
      <c r="H28" s="21" t="n">
        <f aca="false">0+356400-150000</f>
        <v>206400</v>
      </c>
      <c r="I28" s="21" t="n">
        <f aca="false">0+84850+26560-20000</f>
        <v>91410</v>
      </c>
      <c r="J28" s="21"/>
      <c r="K28" s="21"/>
      <c r="L28" s="21"/>
      <c r="M28" s="21" t="n">
        <f aca="false">SUM(N28:R28)</f>
        <v>226520</v>
      </c>
      <c r="N28" s="21" t="n">
        <f aca="false">0+150000</f>
        <v>150000</v>
      </c>
      <c r="O28" s="21" t="n">
        <f aca="false">0+1520+55000+20000</f>
        <v>76520</v>
      </c>
      <c r="P28" s="21"/>
      <c r="Q28" s="21"/>
      <c r="R28" s="21"/>
      <c r="S28" s="21" t="n">
        <f aca="false">SUM(T28:X28)</f>
        <v>0</v>
      </c>
      <c r="T28" s="21"/>
      <c r="U28" s="21"/>
      <c r="V28" s="21"/>
      <c r="W28" s="21"/>
      <c r="X28" s="21"/>
      <c r="Y28" s="21" t="n">
        <f aca="false">SUM(Z28:AC28)</f>
        <v>0</v>
      </c>
      <c r="Z28" s="21"/>
      <c r="AA28" s="21"/>
      <c r="AB28" s="21"/>
      <c r="AC28" s="21"/>
      <c r="AD28" s="21" t="n">
        <f aca="false">SUM(AE28:AH28)</f>
        <v>0</v>
      </c>
      <c r="AE28" s="21"/>
      <c r="AF28" s="21"/>
      <c r="AG28" s="21"/>
      <c r="AH28" s="21"/>
      <c r="AI28" s="19" t="s">
        <v>130</v>
      </c>
      <c r="AJ28" s="19" t="s">
        <v>24</v>
      </c>
      <c r="AK28" s="19"/>
      <c r="AL28" s="19" t="s">
        <v>40</v>
      </c>
      <c r="AM28" s="19" t="s">
        <v>131</v>
      </c>
      <c r="AN28" s="19" t="s">
        <v>57</v>
      </c>
      <c r="AO28" s="19" t="s">
        <v>125</v>
      </c>
      <c r="AP28" s="19" t="s">
        <v>57</v>
      </c>
      <c r="AQ28" s="19" t="s">
        <v>57</v>
      </c>
      <c r="AR28" s="19" t="s">
        <v>134</v>
      </c>
      <c r="AS28" s="19" t="s">
        <v>44</v>
      </c>
      <c r="AT28" s="19" t="s">
        <v>45</v>
      </c>
      <c r="AU28" s="19" t="s">
        <v>135</v>
      </c>
    </row>
    <row r="29" customFormat="false" ht="99.75" hidden="false" customHeight="true" outlineLevel="0" collapsed="false">
      <c r="A29" s="19" t="s">
        <v>136</v>
      </c>
      <c r="B29" s="19" t="s">
        <v>137</v>
      </c>
      <c r="C29" s="19" t="s">
        <v>36</v>
      </c>
      <c r="D29" s="19" t="s">
        <v>138</v>
      </c>
      <c r="E29" s="19" t="s">
        <v>139</v>
      </c>
      <c r="F29" s="21" t="n">
        <f aca="false">SUM(G29+M29+S29+Y29+AD29)</f>
        <v>360561.05489</v>
      </c>
      <c r="G29" s="21" t="n">
        <f aca="false">SUM(H29:L29)</f>
        <v>175000</v>
      </c>
      <c r="H29" s="21"/>
      <c r="I29" s="21" t="n">
        <v>175000</v>
      </c>
      <c r="J29" s="21"/>
      <c r="K29" s="21"/>
      <c r="L29" s="21"/>
      <c r="M29" s="21" t="n">
        <f aca="false">SUM(N29:R29)</f>
        <v>185561.05489</v>
      </c>
      <c r="N29" s="21"/>
      <c r="O29" s="21" t="n">
        <f aca="false">164500+20600+461.05489</f>
        <v>185561.05489</v>
      </c>
      <c r="P29" s="21"/>
      <c r="Q29" s="21"/>
      <c r="R29" s="21"/>
      <c r="S29" s="21" t="n">
        <f aca="false">SUM(T29:X29)</f>
        <v>0</v>
      </c>
      <c r="T29" s="21"/>
      <c r="U29" s="21"/>
      <c r="V29" s="21"/>
      <c r="W29" s="21"/>
      <c r="X29" s="21"/>
      <c r="Y29" s="21" t="n">
        <f aca="false">SUM(Z29:AC29)</f>
        <v>0</v>
      </c>
      <c r="Z29" s="21"/>
      <c r="AA29" s="21"/>
      <c r="AB29" s="21"/>
      <c r="AC29" s="21"/>
      <c r="AD29" s="21" t="n">
        <f aca="false">SUM(AE29:AH29)</f>
        <v>0</v>
      </c>
      <c r="AE29" s="21"/>
      <c r="AF29" s="21"/>
      <c r="AG29" s="21"/>
      <c r="AH29" s="21"/>
      <c r="AI29" s="27" t="s">
        <v>140</v>
      </c>
      <c r="AJ29" s="19" t="s">
        <v>23</v>
      </c>
      <c r="AK29" s="19"/>
      <c r="AL29" s="19" t="s">
        <v>40</v>
      </c>
      <c r="AM29" s="19" t="s">
        <v>141</v>
      </c>
      <c r="AN29" s="19" t="s">
        <v>57</v>
      </c>
      <c r="AO29" s="19" t="s">
        <v>142</v>
      </c>
      <c r="AP29" s="19" t="s">
        <v>36</v>
      </c>
      <c r="AQ29" s="19" t="s">
        <v>57</v>
      </c>
      <c r="AR29" s="19" t="s">
        <v>143</v>
      </c>
      <c r="AS29" s="19" t="s">
        <v>44</v>
      </c>
      <c r="AT29" s="19" t="s">
        <v>96</v>
      </c>
      <c r="AU29" s="19" t="s">
        <v>144</v>
      </c>
    </row>
    <row r="30" customFormat="false" ht="99.75" hidden="false" customHeight="true" outlineLevel="0" collapsed="false">
      <c r="A30" s="19" t="s">
        <v>145</v>
      </c>
      <c r="B30" s="19" t="s">
        <v>137</v>
      </c>
      <c r="C30" s="19" t="s">
        <v>36</v>
      </c>
      <c r="D30" s="19" t="s">
        <v>146</v>
      </c>
      <c r="E30" s="19" t="s">
        <v>122</v>
      </c>
      <c r="F30" s="21" t="n">
        <f aca="false">SUM(G30+M30+S30+Y30+AD30)</f>
        <v>675741.08301</v>
      </c>
      <c r="G30" s="21" t="n">
        <f aca="false">SUM(H30:L30)</f>
        <v>525741.08301</v>
      </c>
      <c r="H30" s="21" t="n">
        <v>446638.4</v>
      </c>
      <c r="I30" s="21" t="n">
        <f aca="false">107367.27+160000-22545.50362-16110.61999+391.53662-150000</f>
        <v>79102.68301</v>
      </c>
      <c r="J30" s="21"/>
      <c r="K30" s="21"/>
      <c r="L30" s="21"/>
      <c r="M30" s="21" t="n">
        <f aca="false">SUM(N30:R30)</f>
        <v>150000</v>
      </c>
      <c r="N30" s="21"/>
      <c r="O30" s="21" t="n">
        <f aca="false">0+150000</f>
        <v>150000</v>
      </c>
      <c r="P30" s="21"/>
      <c r="Q30" s="21"/>
      <c r="R30" s="21"/>
      <c r="S30" s="21" t="n">
        <f aca="false">SUM(T30:X30)</f>
        <v>0</v>
      </c>
      <c r="T30" s="21"/>
      <c r="U30" s="21"/>
      <c r="V30" s="21"/>
      <c r="W30" s="21"/>
      <c r="X30" s="21"/>
      <c r="Y30" s="21" t="n">
        <f aca="false">SUM(Z30:AC30)</f>
        <v>0</v>
      </c>
      <c r="Z30" s="21"/>
      <c r="AA30" s="21"/>
      <c r="AB30" s="21"/>
      <c r="AC30" s="21"/>
      <c r="AD30" s="21" t="n">
        <f aca="false">SUM(AE30:AH30)</f>
        <v>0</v>
      </c>
      <c r="AE30" s="21"/>
      <c r="AF30" s="21"/>
      <c r="AG30" s="21"/>
      <c r="AH30" s="21"/>
      <c r="AI30" s="27" t="s">
        <v>140</v>
      </c>
      <c r="AJ30" s="19" t="s">
        <v>23</v>
      </c>
      <c r="AK30" s="19"/>
      <c r="AL30" s="19" t="s">
        <v>40</v>
      </c>
      <c r="AM30" s="19" t="s">
        <v>147</v>
      </c>
      <c r="AN30" s="19" t="s">
        <v>57</v>
      </c>
      <c r="AO30" s="19" t="s">
        <v>142</v>
      </c>
      <c r="AP30" s="19" t="s">
        <v>36</v>
      </c>
      <c r="AQ30" s="19" t="s">
        <v>57</v>
      </c>
      <c r="AR30" s="19" t="s">
        <v>148</v>
      </c>
      <c r="AS30" s="19" t="s">
        <v>44</v>
      </c>
      <c r="AT30" s="19" t="s">
        <v>96</v>
      </c>
      <c r="AU30" s="19" t="s">
        <v>149</v>
      </c>
    </row>
    <row r="31" customFormat="false" ht="114" hidden="false" customHeight="true" outlineLevel="0" collapsed="false">
      <c r="A31" s="19" t="s">
        <v>150</v>
      </c>
      <c r="B31" s="19" t="s">
        <v>137</v>
      </c>
      <c r="C31" s="19" t="s">
        <v>142</v>
      </c>
      <c r="D31" s="19" t="s">
        <v>151</v>
      </c>
      <c r="E31" s="19" t="s">
        <v>122</v>
      </c>
      <c r="F31" s="21" t="n">
        <f aca="false">SUM(G31+M31+S31+Y31+AD31)</f>
        <v>83856.28283</v>
      </c>
      <c r="G31" s="21" t="n">
        <f aca="false">SUM(H31:L31)</f>
        <v>83856.28283</v>
      </c>
      <c r="H31" s="21" t="n">
        <v>83017.72</v>
      </c>
      <c r="I31" s="21"/>
      <c r="J31" s="21" t="n">
        <v>838.56283</v>
      </c>
      <c r="K31" s="21"/>
      <c r="L31" s="21"/>
      <c r="M31" s="21" t="n">
        <f aca="false">SUM(N31:R31)</f>
        <v>0</v>
      </c>
      <c r="N31" s="21"/>
      <c r="O31" s="21"/>
      <c r="P31" s="21"/>
      <c r="Q31" s="21"/>
      <c r="R31" s="21"/>
      <c r="S31" s="21" t="n">
        <f aca="false">SUM(T31:X31)</f>
        <v>0</v>
      </c>
      <c r="T31" s="21"/>
      <c r="U31" s="21"/>
      <c r="V31" s="21"/>
      <c r="W31" s="21"/>
      <c r="X31" s="21"/>
      <c r="Y31" s="21" t="n">
        <f aca="false">SUM(Z31:AC31)</f>
        <v>0</v>
      </c>
      <c r="Z31" s="21"/>
      <c r="AA31" s="21"/>
      <c r="AB31" s="21"/>
      <c r="AC31" s="21"/>
      <c r="AD31" s="21" t="n">
        <f aca="false">SUM(AE31:AH31)</f>
        <v>0</v>
      </c>
      <c r="AE31" s="21"/>
      <c r="AF31" s="21"/>
      <c r="AG31" s="21"/>
      <c r="AH31" s="21"/>
      <c r="AI31" s="27" t="s">
        <v>140</v>
      </c>
      <c r="AJ31" s="19" t="s">
        <v>23</v>
      </c>
      <c r="AK31" s="19"/>
      <c r="AL31" s="19" t="s">
        <v>152</v>
      </c>
      <c r="AM31" s="26" t="s">
        <v>153</v>
      </c>
      <c r="AN31" s="19" t="s">
        <v>154</v>
      </c>
      <c r="AO31" s="19" t="s">
        <v>142</v>
      </c>
      <c r="AP31" s="19" t="s">
        <v>155</v>
      </c>
      <c r="AQ31" s="19" t="s">
        <v>155</v>
      </c>
      <c r="AR31" s="28" t="s">
        <v>156</v>
      </c>
      <c r="AS31" s="19" t="s">
        <v>157</v>
      </c>
      <c r="AT31" s="19" t="s">
        <v>45</v>
      </c>
      <c r="AU31" s="19" t="s">
        <v>158</v>
      </c>
    </row>
    <row r="32" customFormat="false" ht="99.75" hidden="false" customHeight="true" outlineLevel="0" collapsed="false">
      <c r="A32" s="19" t="s">
        <v>159</v>
      </c>
      <c r="B32" s="19" t="s">
        <v>160</v>
      </c>
      <c r="C32" s="19" t="s">
        <v>36</v>
      </c>
      <c r="D32" s="19" t="s">
        <v>161</v>
      </c>
      <c r="E32" s="19" t="s">
        <v>162</v>
      </c>
      <c r="F32" s="21" t="n">
        <f aca="false">SUM(G32+M32+S32+Y32+AD32)</f>
        <v>597718.79</v>
      </c>
      <c r="G32" s="21" t="n">
        <f aca="false">SUM(H32:L32)</f>
        <v>6988.99</v>
      </c>
      <c r="H32" s="21"/>
      <c r="I32" s="21" t="n">
        <v>6988.99</v>
      </c>
      <c r="J32" s="21"/>
      <c r="K32" s="21"/>
      <c r="L32" s="21"/>
      <c r="M32" s="21" t="n">
        <f aca="false">SUM(N32:R32)</f>
        <v>0</v>
      </c>
      <c r="N32" s="21"/>
      <c r="O32" s="21"/>
      <c r="P32" s="21"/>
      <c r="Q32" s="21"/>
      <c r="R32" s="21"/>
      <c r="S32" s="21" t="n">
        <f aca="false">SUM(T32:X32)</f>
        <v>590729.8</v>
      </c>
      <c r="T32" s="21" t="n">
        <v>565729.8</v>
      </c>
      <c r="U32" s="21" t="n">
        <v>25000</v>
      </c>
      <c r="V32" s="21"/>
      <c r="W32" s="21"/>
      <c r="X32" s="21"/>
      <c r="Y32" s="21" t="n">
        <f aca="false">SUM(Z32:AC32)</f>
        <v>0</v>
      </c>
      <c r="Z32" s="21"/>
      <c r="AA32" s="21"/>
      <c r="AB32" s="21"/>
      <c r="AC32" s="21"/>
      <c r="AD32" s="21" t="n">
        <f aca="false">SUM(AE32:AH32)</f>
        <v>0</v>
      </c>
      <c r="AE32" s="21"/>
      <c r="AF32" s="21"/>
      <c r="AG32" s="21"/>
      <c r="AH32" s="21"/>
      <c r="AI32" s="19" t="s">
        <v>163</v>
      </c>
      <c r="AJ32" s="19" t="s">
        <v>26</v>
      </c>
      <c r="AK32" s="19" t="s">
        <v>164</v>
      </c>
      <c r="AL32" s="19" t="s">
        <v>40</v>
      </c>
      <c r="AM32" s="19" t="s">
        <v>165</v>
      </c>
      <c r="AN32" s="19" t="s">
        <v>57</v>
      </c>
      <c r="AO32" s="29" t="s">
        <v>166</v>
      </c>
      <c r="AP32" s="19" t="s">
        <v>36</v>
      </c>
      <c r="AQ32" s="19" t="s">
        <v>57</v>
      </c>
      <c r="AR32" s="19" t="s">
        <v>167</v>
      </c>
      <c r="AS32" s="19" t="s">
        <v>44</v>
      </c>
      <c r="AT32" s="19" t="s">
        <v>71</v>
      </c>
      <c r="AU32" s="19"/>
    </row>
    <row r="33" customFormat="false" ht="99.75" hidden="false" customHeight="true" outlineLevel="0" collapsed="false">
      <c r="A33" s="19" t="s">
        <v>168</v>
      </c>
      <c r="B33" s="19" t="s">
        <v>160</v>
      </c>
      <c r="C33" s="19" t="s">
        <v>36</v>
      </c>
      <c r="D33" s="19" t="s">
        <v>169</v>
      </c>
      <c r="E33" s="19" t="s">
        <v>74</v>
      </c>
      <c r="F33" s="21" t="n">
        <f aca="false">SUM(G33+M33+S33+Y33+AD33)</f>
        <v>63000</v>
      </c>
      <c r="G33" s="21" t="n">
        <f aca="false">SUM(H33:L33)</f>
        <v>3000</v>
      </c>
      <c r="H33" s="21"/>
      <c r="I33" s="21" t="n">
        <v>3000</v>
      </c>
      <c r="J33" s="21"/>
      <c r="K33" s="30"/>
      <c r="L33" s="21"/>
      <c r="M33" s="21" t="n">
        <f aca="false">SUM(N33:R33)</f>
        <v>60000</v>
      </c>
      <c r="N33" s="21"/>
      <c r="O33" s="21" t="n">
        <v>60000</v>
      </c>
      <c r="P33" s="21"/>
      <c r="Q33" s="21"/>
      <c r="R33" s="21"/>
      <c r="S33" s="21" t="n">
        <f aca="false">SUM(T33:X33)</f>
        <v>0</v>
      </c>
      <c r="T33" s="21"/>
      <c r="U33" s="21"/>
      <c r="V33" s="21"/>
      <c r="W33" s="21"/>
      <c r="X33" s="21"/>
      <c r="Y33" s="21" t="n">
        <f aca="false">SUM(Z33:AC33)</f>
        <v>0</v>
      </c>
      <c r="Z33" s="21"/>
      <c r="AA33" s="21"/>
      <c r="AB33" s="21"/>
      <c r="AC33" s="21"/>
      <c r="AD33" s="21" t="n">
        <f aca="false">SUM(AE33:AH33)</f>
        <v>0</v>
      </c>
      <c r="AE33" s="21"/>
      <c r="AF33" s="21"/>
      <c r="AG33" s="21"/>
      <c r="AH33" s="21"/>
      <c r="AI33" s="23" t="s">
        <v>170</v>
      </c>
      <c r="AJ33" s="19" t="s">
        <v>25</v>
      </c>
      <c r="AK33" s="19" t="s">
        <v>24</v>
      </c>
      <c r="AL33" s="19" t="s">
        <v>40</v>
      </c>
      <c r="AM33" s="19" t="s">
        <v>171</v>
      </c>
      <c r="AN33" s="19" t="s">
        <v>57</v>
      </c>
      <c r="AO33" s="29" t="s">
        <v>166</v>
      </c>
      <c r="AP33" s="19" t="s">
        <v>36</v>
      </c>
      <c r="AQ33" s="19" t="s">
        <v>57</v>
      </c>
      <c r="AR33" s="19" t="s">
        <v>172</v>
      </c>
      <c r="AS33" s="19" t="s">
        <v>44</v>
      </c>
      <c r="AT33" s="19" t="s">
        <v>71</v>
      </c>
      <c r="AU33" s="19"/>
    </row>
    <row r="34" s="32" customFormat="true" ht="212.25" hidden="false" customHeight="true" outlineLevel="0" collapsed="false">
      <c r="A34" s="19" t="s">
        <v>173</v>
      </c>
      <c r="B34" s="19" t="s">
        <v>174</v>
      </c>
      <c r="C34" s="19" t="s">
        <v>175</v>
      </c>
      <c r="D34" s="19" t="s">
        <v>176</v>
      </c>
      <c r="E34" s="19" t="s">
        <v>122</v>
      </c>
      <c r="F34" s="21" t="n">
        <f aca="false">SUM(G34+M34+S34+Y34+AD34)</f>
        <v>191740</v>
      </c>
      <c r="G34" s="21" t="n">
        <f aca="false">SUM(H34:L34)</f>
        <v>191740</v>
      </c>
      <c r="H34" s="21" t="n">
        <f aca="false">0+122322.3</f>
        <v>122322.3</v>
      </c>
      <c r="I34" s="21" t="n">
        <f aca="false">0+69717.7-300</f>
        <v>69417.7</v>
      </c>
      <c r="J34" s="21"/>
      <c r="K34" s="30"/>
      <c r="L34" s="21"/>
      <c r="M34" s="21" t="n">
        <f aca="false">SUM(N34:R34)</f>
        <v>0</v>
      </c>
      <c r="N34" s="21"/>
      <c r="O34" s="21"/>
      <c r="P34" s="21"/>
      <c r="Q34" s="21"/>
      <c r="R34" s="21"/>
      <c r="S34" s="21" t="n">
        <f aca="false">SUM(T34:X34)</f>
        <v>0</v>
      </c>
      <c r="T34" s="21"/>
      <c r="U34" s="21"/>
      <c r="V34" s="21"/>
      <c r="W34" s="21"/>
      <c r="X34" s="21"/>
      <c r="Y34" s="21" t="n">
        <f aca="false">SUM(Z34:AC34)</f>
        <v>0</v>
      </c>
      <c r="Z34" s="21"/>
      <c r="AA34" s="21"/>
      <c r="AB34" s="21"/>
      <c r="AC34" s="21"/>
      <c r="AD34" s="21" t="n">
        <f aca="false">SUM(AE34:AH34)</f>
        <v>0</v>
      </c>
      <c r="AE34" s="21"/>
      <c r="AF34" s="21"/>
      <c r="AG34" s="21"/>
      <c r="AH34" s="21"/>
      <c r="AI34" s="19" t="s">
        <v>177</v>
      </c>
      <c r="AJ34" s="19" t="s">
        <v>23</v>
      </c>
      <c r="AK34" s="19"/>
      <c r="AL34" s="19" t="s">
        <v>75</v>
      </c>
      <c r="AM34" s="19" t="s">
        <v>178</v>
      </c>
      <c r="AN34" s="19" t="s">
        <v>179</v>
      </c>
      <c r="AO34" s="23" t="s">
        <v>180</v>
      </c>
      <c r="AP34" s="23" t="s">
        <v>180</v>
      </c>
      <c r="AQ34" s="23" t="s">
        <v>180</v>
      </c>
      <c r="AR34" s="31" t="s">
        <v>181</v>
      </c>
      <c r="AS34" s="19" t="s">
        <v>44</v>
      </c>
      <c r="AT34" s="19" t="s">
        <v>45</v>
      </c>
      <c r="AU34" s="19"/>
    </row>
    <row r="35" customFormat="false" ht="99.75" hidden="false" customHeight="true" outlineLevel="0" collapsed="false">
      <c r="A35" s="19" t="s">
        <v>182</v>
      </c>
      <c r="B35" s="19" t="s">
        <v>183</v>
      </c>
      <c r="C35" s="19" t="s">
        <v>36</v>
      </c>
      <c r="D35" s="19" t="s">
        <v>184</v>
      </c>
      <c r="E35" s="19" t="s">
        <v>185</v>
      </c>
      <c r="F35" s="21" t="n">
        <f aca="false">SUM(G35+M35+S35+Y35+AD35)</f>
        <v>325000</v>
      </c>
      <c r="G35" s="21" t="n">
        <f aca="false">SUM(H35:L35)</f>
        <v>225000</v>
      </c>
      <c r="H35" s="21" t="n">
        <f aca="false">0+150000-100000</f>
        <v>50000</v>
      </c>
      <c r="I35" s="21" t="n">
        <v>175000</v>
      </c>
      <c r="J35" s="21"/>
      <c r="K35" s="21"/>
      <c r="L35" s="21"/>
      <c r="M35" s="21" t="n">
        <f aca="false">SUM(N35:R35)</f>
        <v>100000</v>
      </c>
      <c r="N35" s="21"/>
      <c r="O35" s="21" t="n">
        <f aca="false">0+100000</f>
        <v>100000</v>
      </c>
      <c r="P35" s="21"/>
      <c r="Q35" s="21"/>
      <c r="R35" s="21"/>
      <c r="S35" s="21" t="n">
        <f aca="false">SUM(T35:X35)</f>
        <v>0</v>
      </c>
      <c r="T35" s="21"/>
      <c r="U35" s="21"/>
      <c r="V35" s="21"/>
      <c r="W35" s="21"/>
      <c r="X35" s="21"/>
      <c r="Y35" s="21" t="n">
        <f aca="false">SUM(Z35:AC35)</f>
        <v>0</v>
      </c>
      <c r="Z35" s="21"/>
      <c r="AA35" s="21"/>
      <c r="AB35" s="21"/>
      <c r="AC35" s="21"/>
      <c r="AD35" s="21" t="n">
        <f aca="false">SUM(AE35:AH35)</f>
        <v>0</v>
      </c>
      <c r="AE35" s="21"/>
      <c r="AF35" s="21"/>
      <c r="AG35" s="21"/>
      <c r="AH35" s="21"/>
      <c r="AI35" s="23" t="s">
        <v>186</v>
      </c>
      <c r="AJ35" s="19" t="s">
        <v>23</v>
      </c>
      <c r="AK35" s="19"/>
      <c r="AL35" s="19" t="s">
        <v>40</v>
      </c>
      <c r="AM35" s="19" t="s">
        <v>187</v>
      </c>
      <c r="AN35" s="19" t="s">
        <v>57</v>
      </c>
      <c r="AO35" s="19" t="s">
        <v>188</v>
      </c>
      <c r="AP35" s="19" t="s">
        <v>57</v>
      </c>
      <c r="AQ35" s="19" t="s">
        <v>57</v>
      </c>
      <c r="AR35" s="19" t="s">
        <v>189</v>
      </c>
      <c r="AS35" s="19" t="s">
        <v>44</v>
      </c>
      <c r="AT35" s="19" t="s">
        <v>96</v>
      </c>
      <c r="AU35" s="19" t="s">
        <v>190</v>
      </c>
    </row>
    <row r="36" customFormat="false" ht="99.75" hidden="false" customHeight="true" outlineLevel="0" collapsed="false">
      <c r="A36" s="19" t="s">
        <v>191</v>
      </c>
      <c r="B36" s="19" t="s">
        <v>183</v>
      </c>
      <c r="C36" s="19" t="s">
        <v>36</v>
      </c>
      <c r="D36" s="19" t="s">
        <v>192</v>
      </c>
      <c r="E36" s="19" t="s">
        <v>105</v>
      </c>
      <c r="F36" s="21" t="n">
        <f aca="false">SUM(G36+M36+S36+Y36+AD36)</f>
        <v>64836.28788</v>
      </c>
      <c r="G36" s="21" t="n">
        <f aca="false">SUM(H36:L36)</f>
        <v>64836.28788</v>
      </c>
      <c r="H36" s="21"/>
      <c r="I36" s="21" t="n">
        <f aca="false">10031.49625-10031.49625</f>
        <v>0</v>
      </c>
      <c r="J36" s="21" t="n">
        <f aca="false">82.76145-72.61597+10.01001+12.012-0.1134+30.29907+2.48312</f>
        <v>64.83628</v>
      </c>
      <c r="K36" s="21" t="n">
        <f aca="false">31169.50275-21034.17035+10000+12000-113.2986+30268.776+2480.6418</f>
        <v>64771.4516</v>
      </c>
      <c r="L36" s="21"/>
      <c r="M36" s="21" t="n">
        <f aca="false">SUM(N36:R36)</f>
        <v>0</v>
      </c>
      <c r="N36" s="21"/>
      <c r="O36" s="21"/>
      <c r="P36" s="21"/>
      <c r="Q36" s="21"/>
      <c r="R36" s="21"/>
      <c r="S36" s="21" t="n">
        <f aca="false">SUM(T36:X36)</f>
        <v>0</v>
      </c>
      <c r="T36" s="21"/>
      <c r="U36" s="21"/>
      <c r="V36" s="21"/>
      <c r="W36" s="21"/>
      <c r="X36" s="21"/>
      <c r="Y36" s="21" t="n">
        <f aca="false">SUM(Z36:AC36)</f>
        <v>0</v>
      </c>
      <c r="Z36" s="21"/>
      <c r="AA36" s="21"/>
      <c r="AB36" s="21"/>
      <c r="AC36" s="21"/>
      <c r="AD36" s="21" t="n">
        <f aca="false">SUM(AE36:AH36)</f>
        <v>0</v>
      </c>
      <c r="AE36" s="21"/>
      <c r="AF36" s="21"/>
      <c r="AG36" s="21"/>
      <c r="AH36" s="21"/>
      <c r="AI36" s="23" t="s">
        <v>193</v>
      </c>
      <c r="AJ36" s="19" t="s">
        <v>23</v>
      </c>
      <c r="AK36" s="19"/>
      <c r="AL36" s="19" t="s">
        <v>152</v>
      </c>
      <c r="AM36" s="19"/>
      <c r="AN36" s="19" t="s">
        <v>105</v>
      </c>
      <c r="AO36" s="19" t="s">
        <v>188</v>
      </c>
      <c r="AP36" s="19" t="s">
        <v>194</v>
      </c>
      <c r="AQ36" s="19" t="s">
        <v>194</v>
      </c>
      <c r="AR36" s="19"/>
      <c r="AS36" s="19" t="s">
        <v>157</v>
      </c>
      <c r="AT36" s="19" t="s">
        <v>79</v>
      </c>
      <c r="AU36" s="19"/>
    </row>
    <row r="37" customFormat="false" ht="99.75" hidden="false" customHeight="true" outlineLevel="0" collapsed="false">
      <c r="A37" s="19" t="s">
        <v>195</v>
      </c>
      <c r="B37" s="19" t="s">
        <v>183</v>
      </c>
      <c r="C37" s="19" t="s">
        <v>36</v>
      </c>
      <c r="D37" s="19" t="s">
        <v>192</v>
      </c>
      <c r="E37" s="19" t="s">
        <v>196</v>
      </c>
      <c r="F37" s="21" t="n">
        <f aca="false">SUM(G37+M37+S37+Y37+AD37)</f>
        <v>544814.19249</v>
      </c>
      <c r="G37" s="21" t="n">
        <f aca="false">SUM(H37:L37)</f>
        <v>544814.19249</v>
      </c>
      <c r="H37" s="21"/>
      <c r="I37" s="21" t="n">
        <f aca="false">280306.26301+52518.6582-75357.20513-4453.96074-33346.03926</f>
        <v>219667.71608</v>
      </c>
      <c r="J37" s="21" t="n">
        <f aca="false">668.06761+168.4566-162.4149+17.82068+95.0951-3.0385-78.76371-100.64024-59.76844</f>
        <v>544.8142</v>
      </c>
      <c r="K37" s="21" t="n">
        <f aca="false">358413.1406+8914.03015+95050.51579-12000-3327.75098-96085.635-26362.63835</f>
        <v>324601.66221</v>
      </c>
      <c r="L37" s="21"/>
      <c r="M37" s="21" t="n">
        <f aca="false">SUM(N37:R37)</f>
        <v>0</v>
      </c>
      <c r="N37" s="21"/>
      <c r="O37" s="21"/>
      <c r="P37" s="21"/>
      <c r="Q37" s="21"/>
      <c r="R37" s="21"/>
      <c r="S37" s="21" t="n">
        <f aca="false">SUM(T37:X37)</f>
        <v>0</v>
      </c>
      <c r="T37" s="21"/>
      <c r="U37" s="21"/>
      <c r="V37" s="21"/>
      <c r="W37" s="21"/>
      <c r="X37" s="21"/>
      <c r="Y37" s="21" t="n">
        <f aca="false">SUM(Z37:AC37)</f>
        <v>0</v>
      </c>
      <c r="Z37" s="21"/>
      <c r="AA37" s="21"/>
      <c r="AB37" s="21"/>
      <c r="AC37" s="21"/>
      <c r="AD37" s="21" t="n">
        <f aca="false">SUM(AE37:AH37)</f>
        <v>0</v>
      </c>
      <c r="AE37" s="21"/>
      <c r="AF37" s="21"/>
      <c r="AG37" s="21"/>
      <c r="AH37" s="21"/>
      <c r="AI37" s="23" t="s">
        <v>193</v>
      </c>
      <c r="AJ37" s="19" t="s">
        <v>24</v>
      </c>
      <c r="AK37" s="19"/>
      <c r="AL37" s="19" t="s">
        <v>152</v>
      </c>
      <c r="AM37" s="19"/>
      <c r="AN37" s="19" t="s">
        <v>197</v>
      </c>
      <c r="AO37" s="19" t="s">
        <v>188</v>
      </c>
      <c r="AP37" s="19" t="s">
        <v>198</v>
      </c>
      <c r="AQ37" s="19" t="s">
        <v>198</v>
      </c>
      <c r="AR37" s="19"/>
      <c r="AS37" s="19" t="s">
        <v>157</v>
      </c>
      <c r="AT37" s="19" t="s">
        <v>79</v>
      </c>
      <c r="AU37" s="19"/>
    </row>
    <row r="38" customFormat="false" ht="99.75" hidden="false" customHeight="true" outlineLevel="0" collapsed="false">
      <c r="A38" s="19" t="s">
        <v>199</v>
      </c>
      <c r="B38" s="19" t="s">
        <v>183</v>
      </c>
      <c r="C38" s="19" t="s">
        <v>36</v>
      </c>
      <c r="D38" s="19" t="s">
        <v>192</v>
      </c>
      <c r="E38" s="19" t="s">
        <v>200</v>
      </c>
      <c r="F38" s="21" t="n">
        <f aca="false">SUM(G38+M38+S38+Y38+AD38)</f>
        <v>39121.15231</v>
      </c>
      <c r="G38" s="21" t="n">
        <f aca="false">SUM(H38:L38)</f>
        <v>39121.15231</v>
      </c>
      <c r="H38" s="21"/>
      <c r="I38" s="21" t="n">
        <f aca="false">6630.83747+6869.16253+13061.82545-11002.1705+991.20673</f>
        <v>16550.86168</v>
      </c>
      <c r="J38" s="21" t="n">
        <f aca="false">37.10292+8.27744+13.0749-11.08545+0.99219-9.24084</f>
        <v>39.12116</v>
      </c>
      <c r="K38" s="21" t="n">
        <f aca="false">0+30434.98266+1400-72.20633-9231.60686</f>
        <v>22531.16947</v>
      </c>
      <c r="L38" s="21"/>
      <c r="M38" s="21" t="n">
        <f aca="false">SUM(N38:R38)</f>
        <v>0</v>
      </c>
      <c r="N38" s="21"/>
      <c r="O38" s="21"/>
      <c r="P38" s="21"/>
      <c r="Q38" s="21"/>
      <c r="R38" s="21"/>
      <c r="S38" s="21" t="n">
        <f aca="false">SUM(T38:X38)</f>
        <v>0</v>
      </c>
      <c r="T38" s="21"/>
      <c r="U38" s="21"/>
      <c r="V38" s="21"/>
      <c r="W38" s="21"/>
      <c r="X38" s="21"/>
      <c r="Y38" s="21" t="n">
        <f aca="false">SUM(Z38:AC38)</f>
        <v>0</v>
      </c>
      <c r="Z38" s="21"/>
      <c r="AA38" s="21"/>
      <c r="AB38" s="21"/>
      <c r="AC38" s="21"/>
      <c r="AD38" s="21" t="n">
        <f aca="false">SUM(AE38:AH38)</f>
        <v>0</v>
      </c>
      <c r="AE38" s="21"/>
      <c r="AF38" s="21"/>
      <c r="AG38" s="21"/>
      <c r="AH38" s="21"/>
      <c r="AI38" s="23" t="s">
        <v>193</v>
      </c>
      <c r="AJ38" s="19" t="s">
        <v>23</v>
      </c>
      <c r="AK38" s="19"/>
      <c r="AL38" s="19" t="s">
        <v>152</v>
      </c>
      <c r="AM38" s="19"/>
      <c r="AN38" s="19" t="s">
        <v>201</v>
      </c>
      <c r="AO38" s="19" t="s">
        <v>188</v>
      </c>
      <c r="AP38" s="19" t="s">
        <v>202</v>
      </c>
      <c r="AQ38" s="19" t="s">
        <v>202</v>
      </c>
      <c r="AR38" s="19"/>
      <c r="AS38" s="19" t="s">
        <v>157</v>
      </c>
      <c r="AT38" s="19" t="s">
        <v>79</v>
      </c>
      <c r="AU38" s="19"/>
    </row>
    <row r="39" customFormat="false" ht="99.75" hidden="false" customHeight="true" outlineLevel="0" collapsed="false">
      <c r="A39" s="19" t="s">
        <v>203</v>
      </c>
      <c r="B39" s="19" t="s">
        <v>183</v>
      </c>
      <c r="C39" s="19" t="s">
        <v>36</v>
      </c>
      <c r="D39" s="19" t="s">
        <v>192</v>
      </c>
      <c r="E39" s="19" t="s">
        <v>204</v>
      </c>
      <c r="F39" s="21" t="n">
        <f aca="false">SUM(G39+M39+S39+Y39+AD39)</f>
        <v>34865.87828</v>
      </c>
      <c r="G39" s="21" t="n">
        <f aca="false">SUM(H39:L39)</f>
        <v>34865.87828</v>
      </c>
      <c r="H39" s="21"/>
      <c r="I39" s="21" t="n">
        <f aca="false">378.045-378.045</f>
        <v>0</v>
      </c>
      <c r="J39" s="21" t="n">
        <f aca="false">161.30096-24.38155-62.58346-39.45995-0.01013</f>
        <v>34.86587</v>
      </c>
      <c r="K39" s="21" t="n">
        <f aca="false">139261.6175-2479.12285-62520.87715-39420.49442-10.11067</f>
        <v>34831.01241</v>
      </c>
      <c r="L39" s="21"/>
      <c r="M39" s="21" t="n">
        <f aca="false">SUM(N39:R39)</f>
        <v>0</v>
      </c>
      <c r="N39" s="21"/>
      <c r="O39" s="21"/>
      <c r="P39" s="21"/>
      <c r="Q39" s="21"/>
      <c r="R39" s="21"/>
      <c r="S39" s="21" t="n">
        <f aca="false">SUM(T39:X39)</f>
        <v>0</v>
      </c>
      <c r="T39" s="21"/>
      <c r="U39" s="21"/>
      <c r="V39" s="21"/>
      <c r="W39" s="21"/>
      <c r="X39" s="21"/>
      <c r="Y39" s="21" t="n">
        <f aca="false">SUM(Z39:AC39)</f>
        <v>0</v>
      </c>
      <c r="Z39" s="21"/>
      <c r="AA39" s="21"/>
      <c r="AB39" s="21"/>
      <c r="AC39" s="21"/>
      <c r="AD39" s="21" t="n">
        <f aca="false">SUM(AE39:AH39)</f>
        <v>0</v>
      </c>
      <c r="AE39" s="21"/>
      <c r="AF39" s="21"/>
      <c r="AG39" s="21"/>
      <c r="AH39" s="21"/>
      <c r="AI39" s="22" t="s">
        <v>193</v>
      </c>
      <c r="AJ39" s="19" t="s">
        <v>23</v>
      </c>
      <c r="AK39" s="19"/>
      <c r="AL39" s="19" t="s">
        <v>152</v>
      </c>
      <c r="AM39" s="19"/>
      <c r="AN39" s="19" t="s">
        <v>204</v>
      </c>
      <c r="AO39" s="19" t="s">
        <v>188</v>
      </c>
      <c r="AP39" s="19" t="s">
        <v>205</v>
      </c>
      <c r="AQ39" s="19" t="s">
        <v>205</v>
      </c>
      <c r="AR39" s="19"/>
      <c r="AS39" s="19" t="s">
        <v>157</v>
      </c>
      <c r="AT39" s="19" t="s">
        <v>79</v>
      </c>
      <c r="AU39" s="19"/>
    </row>
    <row r="40" customFormat="false" ht="99.75" hidden="false" customHeight="true" outlineLevel="0" collapsed="false">
      <c r="A40" s="19" t="s">
        <v>206</v>
      </c>
      <c r="B40" s="19" t="s">
        <v>183</v>
      </c>
      <c r="C40" s="19" t="s">
        <v>36</v>
      </c>
      <c r="D40" s="19" t="s">
        <v>192</v>
      </c>
      <c r="E40" s="19" t="s">
        <v>122</v>
      </c>
      <c r="F40" s="21" t="n">
        <f aca="false">SUM(G40+M40+S40+Y40+AD40)</f>
        <v>3248724.59815</v>
      </c>
      <c r="G40" s="21" t="n">
        <f aca="false">SUM(H40:L40)</f>
        <v>604806.67265</v>
      </c>
      <c r="H40" s="21"/>
      <c r="I40" s="21" t="n">
        <f aca="false">102386.48883+675653.89833-620000-1221-9369.16253+88859.37563+3462.75401-16028.95417</f>
        <v>223743.4001</v>
      </c>
      <c r="J40" s="21" t="n">
        <f aca="false">213.86038+2536.026-2481.53861+109.13389+127.49128+45.99279+53.84094</f>
        <v>604.80667</v>
      </c>
      <c r="K40" s="21" t="n">
        <f aca="false">111260.03478+73224.33407-73224.33407+118393.91955+38504.44554+42484.01055+69816.05546</f>
        <v>380458.46588</v>
      </c>
      <c r="L40" s="21"/>
      <c r="M40" s="21" t="n">
        <f aca="false">SUM(N40:R40)</f>
        <v>65473.0931</v>
      </c>
      <c r="N40" s="21"/>
      <c r="O40" s="21" t="n">
        <f aca="false">350507.62-164500-20600-100000</f>
        <v>65407.62</v>
      </c>
      <c r="P40" s="21" t="n">
        <f aca="false">1290.213-1224.7399</f>
        <v>65.4730999999999</v>
      </c>
      <c r="Q40" s="21"/>
      <c r="R40" s="21"/>
      <c r="S40" s="21" t="n">
        <f aca="false">SUM(T40:X40)</f>
        <v>567952.8324</v>
      </c>
      <c r="T40" s="21"/>
      <c r="U40" s="21" t="n">
        <f aca="false">590160.0536-24343.4</f>
        <v>565816.6536</v>
      </c>
      <c r="V40" s="21" t="n">
        <v>2136.1788</v>
      </c>
      <c r="W40" s="21"/>
      <c r="X40" s="21"/>
      <c r="Y40" s="21" t="n">
        <f aca="false">SUM(Z40:AC40)</f>
        <v>2010492</v>
      </c>
      <c r="Z40" s="21"/>
      <c r="AA40" s="21" t="n">
        <v>595474.50642</v>
      </c>
      <c r="AB40" s="21" t="n">
        <v>2010.492</v>
      </c>
      <c r="AC40" s="21" t="n">
        <v>1413007.00158</v>
      </c>
      <c r="AD40" s="21" t="n">
        <f aca="false">SUM(AE40:AH40)</f>
        <v>0</v>
      </c>
      <c r="AE40" s="21"/>
      <c r="AF40" s="21"/>
      <c r="AG40" s="21"/>
      <c r="AH40" s="21"/>
      <c r="AI40" s="22" t="s">
        <v>193</v>
      </c>
      <c r="AJ40" s="19" t="s">
        <v>27</v>
      </c>
      <c r="AK40" s="19"/>
      <c r="AL40" s="19" t="s">
        <v>152</v>
      </c>
      <c r="AM40" s="19"/>
      <c r="AN40" s="19" t="s">
        <v>122</v>
      </c>
      <c r="AO40" s="19" t="s">
        <v>188</v>
      </c>
      <c r="AP40" s="19" t="s">
        <v>155</v>
      </c>
      <c r="AQ40" s="19" t="s">
        <v>155</v>
      </c>
      <c r="AR40" s="19"/>
      <c r="AS40" s="19" t="s">
        <v>157</v>
      </c>
      <c r="AT40" s="19" t="s">
        <v>79</v>
      </c>
      <c r="AU40" s="19"/>
    </row>
    <row r="41" customFormat="false" ht="99.75" hidden="false" customHeight="true" outlineLevel="0" collapsed="false">
      <c r="A41" s="19" t="s">
        <v>207</v>
      </c>
      <c r="B41" s="19" t="s">
        <v>183</v>
      </c>
      <c r="C41" s="19" t="s">
        <v>36</v>
      </c>
      <c r="D41" s="19" t="s">
        <v>192</v>
      </c>
      <c r="E41" s="19" t="s">
        <v>208</v>
      </c>
      <c r="F41" s="21" t="n">
        <f aca="false">SUM(G41+M41+S41+Y41+AD41)</f>
        <v>116726.70871</v>
      </c>
      <c r="G41" s="21" t="n">
        <f aca="false">SUM(H41:L41)</f>
        <v>116726.70871</v>
      </c>
      <c r="H41" s="21"/>
      <c r="I41" s="21" t="n">
        <f aca="false">1431.2842+11630.54125-13061.82545</f>
        <v>0</v>
      </c>
      <c r="J41" s="21" t="n">
        <f aca="false">264.24095+776.8848-901.39565+59.69115-13.0749-30.15984-36.7598-2.7</f>
        <v>116.72671</v>
      </c>
      <c r="K41" s="21" t="n">
        <f aca="false">126528.5406+59631.4594-30129.6778-36723.04-2697.3002</f>
        <v>116609.982</v>
      </c>
      <c r="L41" s="21"/>
      <c r="M41" s="21" t="n">
        <f aca="false">SUM(N41:R41)</f>
        <v>0</v>
      </c>
      <c r="N41" s="21"/>
      <c r="O41" s="21"/>
      <c r="P41" s="21"/>
      <c r="Q41" s="21"/>
      <c r="R41" s="21"/>
      <c r="S41" s="21" t="n">
        <f aca="false">SUM(T41:X41)</f>
        <v>0</v>
      </c>
      <c r="T41" s="21"/>
      <c r="U41" s="21"/>
      <c r="V41" s="21"/>
      <c r="W41" s="21"/>
      <c r="X41" s="21"/>
      <c r="Y41" s="21" t="n">
        <f aca="false">SUM(Z41:AC41)</f>
        <v>0</v>
      </c>
      <c r="Z41" s="21"/>
      <c r="AA41" s="21"/>
      <c r="AB41" s="21"/>
      <c r="AC41" s="21"/>
      <c r="AD41" s="21" t="n">
        <f aca="false">SUM(AE41:AH41)</f>
        <v>0</v>
      </c>
      <c r="AE41" s="21"/>
      <c r="AF41" s="21"/>
      <c r="AG41" s="21"/>
      <c r="AH41" s="21"/>
      <c r="AI41" s="22" t="s">
        <v>193</v>
      </c>
      <c r="AJ41" s="19" t="s">
        <v>23</v>
      </c>
      <c r="AK41" s="19"/>
      <c r="AL41" s="19" t="s">
        <v>152</v>
      </c>
      <c r="AM41" s="19"/>
      <c r="AN41" s="19" t="s">
        <v>209</v>
      </c>
      <c r="AO41" s="19" t="s">
        <v>188</v>
      </c>
      <c r="AP41" s="19" t="s">
        <v>210</v>
      </c>
      <c r="AQ41" s="19" t="s">
        <v>210</v>
      </c>
      <c r="AR41" s="19"/>
      <c r="AS41" s="19" t="s">
        <v>157</v>
      </c>
      <c r="AT41" s="19" t="s">
        <v>79</v>
      </c>
      <c r="AU41" s="19"/>
    </row>
    <row r="42" customFormat="false" ht="99.75" hidden="false" customHeight="true" outlineLevel="0" collapsed="false">
      <c r="A42" s="19" t="s">
        <v>211</v>
      </c>
      <c r="B42" s="19" t="s">
        <v>183</v>
      </c>
      <c r="C42" s="19" t="s">
        <v>36</v>
      </c>
      <c r="D42" s="19" t="s">
        <v>192</v>
      </c>
      <c r="E42" s="19" t="s">
        <v>212</v>
      </c>
      <c r="F42" s="21" t="n">
        <f aca="false">SUM(G42+M42+S42+Y42+AD42)</f>
        <v>406648.602</v>
      </c>
      <c r="G42" s="21" t="n">
        <f aca="false">SUM(H42:L42)</f>
        <v>0</v>
      </c>
      <c r="H42" s="21"/>
      <c r="I42" s="21"/>
      <c r="J42" s="21"/>
      <c r="K42" s="21"/>
      <c r="L42" s="21"/>
      <c r="M42" s="21" t="n">
        <f aca="false">SUM(N42:R42)</f>
        <v>0</v>
      </c>
      <c r="N42" s="21"/>
      <c r="O42" s="21"/>
      <c r="P42" s="21"/>
      <c r="Q42" s="21"/>
      <c r="R42" s="21"/>
      <c r="S42" s="21" t="n">
        <f aca="false">SUM(T42:X42)</f>
        <v>0</v>
      </c>
      <c r="T42" s="21"/>
      <c r="U42" s="21"/>
      <c r="V42" s="21"/>
      <c r="W42" s="21"/>
      <c r="X42" s="21"/>
      <c r="Y42" s="21" t="n">
        <f aca="false">SUM(Z42:AC42)</f>
        <v>406648.602</v>
      </c>
      <c r="Z42" s="21"/>
      <c r="AA42" s="21"/>
      <c r="AB42" s="21" t="n">
        <v>406.6486</v>
      </c>
      <c r="AC42" s="21" t="n">
        <v>406241.9534</v>
      </c>
      <c r="AD42" s="21" t="n">
        <f aca="false">SUM(AE42:AH42)</f>
        <v>0</v>
      </c>
      <c r="AE42" s="21"/>
      <c r="AF42" s="21"/>
      <c r="AG42" s="21"/>
      <c r="AH42" s="21"/>
      <c r="AI42" s="23" t="s">
        <v>193</v>
      </c>
      <c r="AJ42" s="19" t="s">
        <v>27</v>
      </c>
      <c r="AK42" s="19"/>
      <c r="AL42" s="19" t="s">
        <v>152</v>
      </c>
      <c r="AM42" s="19"/>
      <c r="AN42" s="19" t="s">
        <v>213</v>
      </c>
      <c r="AO42" s="19" t="s">
        <v>188</v>
      </c>
      <c r="AP42" s="19" t="s">
        <v>214</v>
      </c>
      <c r="AQ42" s="19" t="s">
        <v>214</v>
      </c>
      <c r="AR42" s="19"/>
      <c r="AS42" s="19" t="s">
        <v>157</v>
      </c>
      <c r="AT42" s="19" t="s">
        <v>79</v>
      </c>
      <c r="AU42" s="19"/>
    </row>
    <row r="43" customFormat="false" ht="99.75" hidden="false" customHeight="true" outlineLevel="0" collapsed="false">
      <c r="A43" s="19" t="s">
        <v>215</v>
      </c>
      <c r="B43" s="19" t="s">
        <v>183</v>
      </c>
      <c r="C43" s="19" t="s">
        <v>36</v>
      </c>
      <c r="D43" s="19" t="s">
        <v>192</v>
      </c>
      <c r="E43" s="19" t="s">
        <v>216</v>
      </c>
      <c r="F43" s="21" t="n">
        <f aca="false">SUM(G43+M43+S43+Y43+AD43)</f>
        <v>271033.9344</v>
      </c>
      <c r="G43" s="21" t="n">
        <f aca="false">SUM(H43:L43)</f>
        <v>0</v>
      </c>
      <c r="H43" s="21"/>
      <c r="I43" s="21"/>
      <c r="J43" s="21"/>
      <c r="K43" s="21"/>
      <c r="L43" s="21"/>
      <c r="M43" s="21" t="n">
        <f aca="false">SUM(N43:R43)</f>
        <v>0</v>
      </c>
      <c r="N43" s="21"/>
      <c r="O43" s="21"/>
      <c r="P43" s="21"/>
      <c r="Q43" s="21"/>
      <c r="R43" s="21"/>
      <c r="S43" s="21" t="n">
        <f aca="false">SUM(T43:X43)</f>
        <v>0</v>
      </c>
      <c r="T43" s="21"/>
      <c r="U43" s="21"/>
      <c r="V43" s="21"/>
      <c r="W43" s="21"/>
      <c r="X43" s="21"/>
      <c r="Y43" s="21" t="n">
        <f aca="false">SUM(Z43:AC43)</f>
        <v>271033.9344</v>
      </c>
      <c r="Z43" s="21"/>
      <c r="AA43" s="21"/>
      <c r="AB43" s="33" t="n">
        <v>271.03393</v>
      </c>
      <c r="AC43" s="33" t="n">
        <v>270762.90047</v>
      </c>
      <c r="AD43" s="21" t="n">
        <f aca="false">SUM(AE43:AH43)</f>
        <v>0</v>
      </c>
      <c r="AE43" s="21"/>
      <c r="AF43" s="21"/>
      <c r="AG43" s="21"/>
      <c r="AH43" s="21"/>
      <c r="AI43" s="23" t="s">
        <v>193</v>
      </c>
      <c r="AJ43" s="19" t="s">
        <v>27</v>
      </c>
      <c r="AK43" s="19"/>
      <c r="AL43" s="19" t="s">
        <v>152</v>
      </c>
      <c r="AM43" s="19"/>
      <c r="AN43" s="19" t="s">
        <v>217</v>
      </c>
      <c r="AO43" s="19" t="s">
        <v>188</v>
      </c>
      <c r="AP43" s="19" t="s">
        <v>218</v>
      </c>
      <c r="AQ43" s="19" t="s">
        <v>218</v>
      </c>
      <c r="AR43" s="19"/>
      <c r="AS43" s="19" t="s">
        <v>157</v>
      </c>
      <c r="AT43" s="19" t="s">
        <v>79</v>
      </c>
      <c r="AU43" s="19"/>
    </row>
    <row r="44" customFormat="false" ht="99.75" hidden="false" customHeight="true" outlineLevel="0" collapsed="false">
      <c r="A44" s="19" t="s">
        <v>219</v>
      </c>
      <c r="B44" s="19" t="s">
        <v>183</v>
      </c>
      <c r="C44" s="19" t="s">
        <v>36</v>
      </c>
      <c r="D44" s="19" t="s">
        <v>192</v>
      </c>
      <c r="E44" s="19" t="s">
        <v>220</v>
      </c>
      <c r="F44" s="21" t="n">
        <f aca="false">SUM(G44+M44+S44+Y44+AD44)</f>
        <v>2100003.60552</v>
      </c>
      <c r="G44" s="21" t="n">
        <f aca="false">SUM(H44:L44)</f>
        <v>0</v>
      </c>
      <c r="H44" s="21"/>
      <c r="I44" s="21"/>
      <c r="J44" s="21"/>
      <c r="K44" s="21"/>
      <c r="L44" s="21"/>
      <c r="M44" s="21" t="n">
        <f aca="false">SUM(N44:R44)</f>
        <v>0</v>
      </c>
      <c r="N44" s="21"/>
      <c r="O44" s="21"/>
      <c r="P44" s="21"/>
      <c r="Q44" s="21"/>
      <c r="R44" s="21"/>
      <c r="S44" s="21" t="n">
        <f aca="false">SUM(T44:X44)</f>
        <v>0</v>
      </c>
      <c r="T44" s="21"/>
      <c r="U44" s="21"/>
      <c r="V44" s="21"/>
      <c r="W44" s="21"/>
      <c r="X44" s="21"/>
      <c r="Y44" s="21" t="n">
        <f aca="false">SUM(Z44:AC44)</f>
        <v>2100003.60552</v>
      </c>
      <c r="Z44" s="21"/>
      <c r="AA44" s="21"/>
      <c r="AB44" s="21" t="n">
        <v>2100.00361</v>
      </c>
      <c r="AC44" s="21" t="n">
        <v>2097903.60191</v>
      </c>
      <c r="AD44" s="21" t="n">
        <f aca="false">SUM(AE44:AH44)</f>
        <v>0</v>
      </c>
      <c r="AE44" s="21"/>
      <c r="AF44" s="21"/>
      <c r="AG44" s="21"/>
      <c r="AH44" s="21"/>
      <c r="AI44" s="23" t="s">
        <v>193</v>
      </c>
      <c r="AJ44" s="19" t="s">
        <v>27</v>
      </c>
      <c r="AK44" s="19"/>
      <c r="AL44" s="19" t="s">
        <v>152</v>
      </c>
      <c r="AM44" s="19"/>
      <c r="AN44" s="19" t="s">
        <v>221</v>
      </c>
      <c r="AO44" s="19" t="s">
        <v>188</v>
      </c>
      <c r="AP44" s="19" t="s">
        <v>222</v>
      </c>
      <c r="AQ44" s="19" t="s">
        <v>222</v>
      </c>
      <c r="AR44" s="19"/>
      <c r="AS44" s="19" t="s">
        <v>157</v>
      </c>
      <c r="AT44" s="19" t="s">
        <v>79</v>
      </c>
      <c r="AU44" s="19"/>
    </row>
    <row r="45" customFormat="false" ht="99.75" hidden="false" customHeight="true" outlineLevel="0" collapsed="false">
      <c r="A45" s="19" t="s">
        <v>223</v>
      </c>
      <c r="B45" s="19" t="s">
        <v>183</v>
      </c>
      <c r="C45" s="19" t="s">
        <v>36</v>
      </c>
      <c r="D45" s="19" t="s">
        <v>192</v>
      </c>
      <c r="E45" s="19" t="s">
        <v>224</v>
      </c>
      <c r="F45" s="21" t="n">
        <f aca="false">SUM(G45+M45+S45+Y45+AD45)</f>
        <v>190058.904</v>
      </c>
      <c r="G45" s="21" t="n">
        <f aca="false">SUM(H45:L45)</f>
        <v>0</v>
      </c>
      <c r="H45" s="21"/>
      <c r="I45" s="21"/>
      <c r="J45" s="21"/>
      <c r="K45" s="21"/>
      <c r="L45" s="21"/>
      <c r="M45" s="21" t="n">
        <f aca="false">SUM(N45:R45)</f>
        <v>0</v>
      </c>
      <c r="N45" s="21"/>
      <c r="O45" s="21"/>
      <c r="P45" s="21"/>
      <c r="Q45" s="21"/>
      <c r="R45" s="21"/>
      <c r="S45" s="21" t="n">
        <f aca="false">SUM(T45:X45)</f>
        <v>0</v>
      </c>
      <c r="T45" s="21"/>
      <c r="U45" s="21"/>
      <c r="V45" s="21"/>
      <c r="W45" s="21"/>
      <c r="X45" s="21"/>
      <c r="Y45" s="21" t="n">
        <f aca="false">SUM(Z45:AC45)</f>
        <v>190058.904</v>
      </c>
      <c r="Z45" s="21"/>
      <c r="AA45" s="21"/>
      <c r="AB45" s="21" t="n">
        <v>190.0589</v>
      </c>
      <c r="AC45" s="21" t="n">
        <v>189868.8451</v>
      </c>
      <c r="AD45" s="21" t="n">
        <f aca="false">SUM(AE45:AH45)</f>
        <v>0</v>
      </c>
      <c r="AE45" s="21"/>
      <c r="AF45" s="21"/>
      <c r="AG45" s="21"/>
      <c r="AH45" s="21"/>
      <c r="AI45" s="23" t="s">
        <v>193</v>
      </c>
      <c r="AJ45" s="19" t="s">
        <v>27</v>
      </c>
      <c r="AK45" s="19"/>
      <c r="AL45" s="19" t="s">
        <v>152</v>
      </c>
      <c r="AM45" s="19"/>
      <c r="AN45" s="19" t="s">
        <v>225</v>
      </c>
      <c r="AO45" s="19" t="s">
        <v>188</v>
      </c>
      <c r="AP45" s="19" t="s">
        <v>226</v>
      </c>
      <c r="AQ45" s="19" t="s">
        <v>226</v>
      </c>
      <c r="AR45" s="19"/>
      <c r="AS45" s="19" t="s">
        <v>157</v>
      </c>
      <c r="AT45" s="19" t="s">
        <v>79</v>
      </c>
      <c r="AU45" s="19"/>
    </row>
    <row r="46" customFormat="false" ht="99.75" hidden="false" customHeight="true" outlineLevel="0" collapsed="false">
      <c r="A46" s="19" t="s">
        <v>227</v>
      </c>
      <c r="B46" s="19" t="s">
        <v>183</v>
      </c>
      <c r="C46" s="19" t="s">
        <v>36</v>
      </c>
      <c r="D46" s="19" t="s">
        <v>192</v>
      </c>
      <c r="E46" s="19" t="s">
        <v>228</v>
      </c>
      <c r="F46" s="21" t="n">
        <f aca="false">SUM(G46+M46+S46+Y46+AD46)</f>
        <v>1769506.2</v>
      </c>
      <c r="G46" s="21" t="n">
        <f aca="false">SUM(H46:L46)</f>
        <v>0</v>
      </c>
      <c r="H46" s="21"/>
      <c r="I46" s="21"/>
      <c r="J46" s="21"/>
      <c r="K46" s="21"/>
      <c r="L46" s="21"/>
      <c r="M46" s="21" t="n">
        <f aca="false">SUM(N46:R46)</f>
        <v>0</v>
      </c>
      <c r="N46" s="21"/>
      <c r="O46" s="21"/>
      <c r="P46" s="21"/>
      <c r="Q46" s="21"/>
      <c r="R46" s="21"/>
      <c r="S46" s="21" t="n">
        <f aca="false">SUM(T46:X46)</f>
        <v>0</v>
      </c>
      <c r="T46" s="21"/>
      <c r="U46" s="21"/>
      <c r="V46" s="21"/>
      <c r="W46" s="21"/>
      <c r="X46" s="21"/>
      <c r="Y46" s="21" t="n">
        <f aca="false">SUM(Z46:AC46)</f>
        <v>1769506.2</v>
      </c>
      <c r="Z46" s="21"/>
      <c r="AA46" s="21"/>
      <c r="AB46" s="21" t="n">
        <v>1769.5062</v>
      </c>
      <c r="AC46" s="21" t="n">
        <v>1767736.6938</v>
      </c>
      <c r="AD46" s="21" t="n">
        <f aca="false">SUM(AE46:AH46)</f>
        <v>0</v>
      </c>
      <c r="AE46" s="21"/>
      <c r="AF46" s="21"/>
      <c r="AG46" s="21"/>
      <c r="AH46" s="21"/>
      <c r="AI46" s="23" t="s">
        <v>193</v>
      </c>
      <c r="AJ46" s="19" t="s">
        <v>27</v>
      </c>
      <c r="AK46" s="19"/>
      <c r="AL46" s="19" t="s">
        <v>152</v>
      </c>
      <c r="AM46" s="19"/>
      <c r="AN46" s="19" t="s">
        <v>225</v>
      </c>
      <c r="AO46" s="19" t="s">
        <v>188</v>
      </c>
      <c r="AP46" s="19" t="s">
        <v>226</v>
      </c>
      <c r="AQ46" s="19" t="s">
        <v>226</v>
      </c>
      <c r="AR46" s="19"/>
      <c r="AS46" s="19" t="s">
        <v>157</v>
      </c>
      <c r="AT46" s="19" t="s">
        <v>79</v>
      </c>
      <c r="AU46" s="19"/>
    </row>
    <row r="47" customFormat="false" ht="99.75" hidden="false" customHeight="true" outlineLevel="0" collapsed="false">
      <c r="A47" s="19" t="s">
        <v>229</v>
      </c>
      <c r="B47" s="19" t="s">
        <v>183</v>
      </c>
      <c r="C47" s="19" t="s">
        <v>36</v>
      </c>
      <c r="D47" s="19" t="s">
        <v>192</v>
      </c>
      <c r="E47" s="19" t="s">
        <v>230</v>
      </c>
      <c r="F47" s="21" t="n">
        <f aca="false">SUM(G47+M47+S47+Y47+AD47)</f>
        <v>318769.2</v>
      </c>
      <c r="G47" s="21" t="n">
        <f aca="false">SUM(H47:L47)</f>
        <v>0</v>
      </c>
      <c r="H47" s="21"/>
      <c r="I47" s="21"/>
      <c r="J47" s="21"/>
      <c r="K47" s="21"/>
      <c r="L47" s="21"/>
      <c r="M47" s="21" t="n">
        <f aca="false">SUM(N47:R47)</f>
        <v>0</v>
      </c>
      <c r="N47" s="21"/>
      <c r="O47" s="21"/>
      <c r="P47" s="21"/>
      <c r="Q47" s="21"/>
      <c r="R47" s="21"/>
      <c r="S47" s="21" t="n">
        <f aca="false">SUM(T47:X47)</f>
        <v>0</v>
      </c>
      <c r="T47" s="21"/>
      <c r="U47" s="21"/>
      <c r="V47" s="21"/>
      <c r="W47" s="21"/>
      <c r="X47" s="21"/>
      <c r="Y47" s="21" t="n">
        <f aca="false">SUM(Z47:AC47)</f>
        <v>318769.2</v>
      </c>
      <c r="Z47" s="21"/>
      <c r="AA47" s="21"/>
      <c r="AB47" s="21" t="n">
        <v>318.7692</v>
      </c>
      <c r="AC47" s="21" t="n">
        <v>318450.4308</v>
      </c>
      <c r="AD47" s="21" t="n">
        <f aca="false">SUM(AE47:AH47)</f>
        <v>0</v>
      </c>
      <c r="AE47" s="21"/>
      <c r="AF47" s="21"/>
      <c r="AG47" s="21"/>
      <c r="AH47" s="21"/>
      <c r="AI47" s="23" t="s">
        <v>193</v>
      </c>
      <c r="AJ47" s="19" t="s">
        <v>27</v>
      </c>
      <c r="AK47" s="19"/>
      <c r="AL47" s="19" t="s">
        <v>152</v>
      </c>
      <c r="AM47" s="19"/>
      <c r="AN47" s="19" t="s">
        <v>225</v>
      </c>
      <c r="AO47" s="19" t="s">
        <v>188</v>
      </c>
      <c r="AP47" s="19" t="s">
        <v>226</v>
      </c>
      <c r="AQ47" s="19" t="s">
        <v>226</v>
      </c>
      <c r="AR47" s="19"/>
      <c r="AS47" s="19" t="s">
        <v>157</v>
      </c>
      <c r="AT47" s="19" t="s">
        <v>79</v>
      </c>
      <c r="AU47" s="19"/>
    </row>
    <row r="48" customFormat="false" ht="99.75" hidden="false" customHeight="true" outlineLevel="0" collapsed="false">
      <c r="A48" s="19" t="s">
        <v>231</v>
      </c>
      <c r="B48" s="19" t="s">
        <v>183</v>
      </c>
      <c r="C48" s="19" t="s">
        <v>36</v>
      </c>
      <c r="D48" s="19" t="s">
        <v>192</v>
      </c>
      <c r="E48" s="19" t="s">
        <v>232</v>
      </c>
      <c r="F48" s="21" t="n">
        <f aca="false">SUM(G48+M48+S48+Y48+AD48)</f>
        <v>29500.7992</v>
      </c>
      <c r="G48" s="21" t="n">
        <f aca="false">SUM(H48:L48)</f>
        <v>0</v>
      </c>
      <c r="H48" s="21"/>
      <c r="I48" s="21"/>
      <c r="J48" s="21"/>
      <c r="K48" s="21"/>
      <c r="L48" s="21"/>
      <c r="M48" s="21" t="n">
        <f aca="false">SUM(N48:R48)</f>
        <v>0</v>
      </c>
      <c r="N48" s="21"/>
      <c r="O48" s="21"/>
      <c r="P48" s="21"/>
      <c r="Q48" s="21"/>
      <c r="R48" s="21"/>
      <c r="S48" s="21" t="n">
        <f aca="false">SUM(T48:X48)</f>
        <v>0</v>
      </c>
      <c r="T48" s="21"/>
      <c r="U48" s="21"/>
      <c r="V48" s="21"/>
      <c r="W48" s="21"/>
      <c r="X48" s="21"/>
      <c r="Y48" s="21" t="n">
        <f aca="false">SUM(Z48:AC48)</f>
        <v>29500.7992</v>
      </c>
      <c r="Z48" s="21"/>
      <c r="AA48" s="21"/>
      <c r="AB48" s="21" t="n">
        <v>29.5</v>
      </c>
      <c r="AC48" s="21" t="n">
        <v>29471.2992</v>
      </c>
      <c r="AD48" s="21" t="n">
        <f aca="false">SUM(AE48:AH48)</f>
        <v>0</v>
      </c>
      <c r="AE48" s="21"/>
      <c r="AF48" s="21"/>
      <c r="AG48" s="21"/>
      <c r="AH48" s="21"/>
      <c r="AI48" s="23" t="s">
        <v>193</v>
      </c>
      <c r="AJ48" s="19" t="s">
        <v>27</v>
      </c>
      <c r="AK48" s="19"/>
      <c r="AL48" s="19" t="s">
        <v>152</v>
      </c>
      <c r="AM48" s="19"/>
      <c r="AN48" s="19" t="s">
        <v>225</v>
      </c>
      <c r="AO48" s="19" t="s">
        <v>188</v>
      </c>
      <c r="AP48" s="19" t="s">
        <v>226</v>
      </c>
      <c r="AQ48" s="19" t="s">
        <v>226</v>
      </c>
      <c r="AR48" s="19"/>
      <c r="AS48" s="19" t="s">
        <v>157</v>
      </c>
      <c r="AT48" s="19" t="s">
        <v>79</v>
      </c>
      <c r="AU48" s="19"/>
    </row>
    <row r="49" customFormat="false" ht="99.75" hidden="false" customHeight="true" outlineLevel="0" collapsed="false">
      <c r="A49" s="19" t="s">
        <v>233</v>
      </c>
      <c r="B49" s="19" t="s">
        <v>183</v>
      </c>
      <c r="C49" s="19" t="s">
        <v>36</v>
      </c>
      <c r="D49" s="19" t="s">
        <v>192</v>
      </c>
      <c r="E49" s="19" t="s">
        <v>234</v>
      </c>
      <c r="F49" s="21" t="n">
        <f aca="false">SUM(G49+M49+S49+Y49+AD49)</f>
        <v>53469.15365</v>
      </c>
      <c r="G49" s="21" t="n">
        <f aca="false">SUM(H49:L49)</f>
        <v>53469.15365</v>
      </c>
      <c r="H49" s="21"/>
      <c r="I49" s="21" t="n">
        <f aca="false">0+2500-2500</f>
        <v>0</v>
      </c>
      <c r="J49" s="21" t="n">
        <f aca="false">0+37.05398+4.08716+9.7151-1.48548+4.09839</f>
        <v>53.46915</v>
      </c>
      <c r="K49" s="21" t="n">
        <f aca="false">0+20000+18600+12205.38975-1484.01005+4094.3048</f>
        <v>53415.6845</v>
      </c>
      <c r="L49" s="21"/>
      <c r="M49" s="21" t="n">
        <f aca="false">SUM(N49:R49)</f>
        <v>0</v>
      </c>
      <c r="N49" s="21"/>
      <c r="O49" s="21"/>
      <c r="P49" s="21"/>
      <c r="Q49" s="21"/>
      <c r="R49" s="21"/>
      <c r="S49" s="21" t="n">
        <f aca="false">SUM(T49:X49)</f>
        <v>0</v>
      </c>
      <c r="T49" s="21"/>
      <c r="U49" s="21"/>
      <c r="V49" s="21"/>
      <c r="W49" s="21"/>
      <c r="X49" s="21"/>
      <c r="Y49" s="21" t="n">
        <f aca="false">SUM(Z49:AC49)</f>
        <v>0</v>
      </c>
      <c r="Z49" s="21"/>
      <c r="AA49" s="21"/>
      <c r="AB49" s="21"/>
      <c r="AC49" s="21"/>
      <c r="AD49" s="21" t="n">
        <f aca="false">SUM(AE49:AH49)</f>
        <v>0</v>
      </c>
      <c r="AE49" s="21"/>
      <c r="AF49" s="21"/>
      <c r="AG49" s="21"/>
      <c r="AH49" s="21"/>
      <c r="AI49" s="23" t="s">
        <v>193</v>
      </c>
      <c r="AJ49" s="19" t="s">
        <v>23</v>
      </c>
      <c r="AK49" s="19"/>
      <c r="AL49" s="19" t="s">
        <v>152</v>
      </c>
      <c r="AM49" s="19"/>
      <c r="AN49" s="19" t="s">
        <v>225</v>
      </c>
      <c r="AO49" s="19" t="s">
        <v>188</v>
      </c>
      <c r="AP49" s="19" t="s">
        <v>226</v>
      </c>
      <c r="AQ49" s="19" t="s">
        <v>226</v>
      </c>
      <c r="AR49" s="19"/>
      <c r="AS49" s="19" t="s">
        <v>157</v>
      </c>
      <c r="AT49" s="19" t="s">
        <v>79</v>
      </c>
      <c r="AU49" s="19"/>
    </row>
    <row r="50" customFormat="false" ht="99.75" hidden="false" customHeight="true" outlineLevel="0" collapsed="false">
      <c r="A50" s="19" t="s">
        <v>235</v>
      </c>
      <c r="B50" s="19" t="s">
        <v>183</v>
      </c>
      <c r="C50" s="19" t="s">
        <v>36</v>
      </c>
      <c r="D50" s="19" t="s">
        <v>192</v>
      </c>
      <c r="E50" s="19" t="s">
        <v>236</v>
      </c>
      <c r="F50" s="21" t="n">
        <f aca="false">SUM(G50+M50+S50+Y50+AD50)</f>
        <v>152908.29499</v>
      </c>
      <c r="G50" s="21" t="n">
        <f aca="false">SUM(H50:L50)</f>
        <v>152908.29499</v>
      </c>
      <c r="H50" s="21"/>
      <c r="I50" s="21"/>
      <c r="J50" s="21" t="n">
        <f aca="false">0+65.26587+9.5089+22.40127+61.86-6.12774</f>
        <v>152.9083</v>
      </c>
      <c r="K50" s="21" t="n">
        <f aca="false">65200.60642+9499.39358+22378.86754+61798.14-6121.62085</f>
        <v>152755.38669</v>
      </c>
      <c r="L50" s="21"/>
      <c r="M50" s="21" t="n">
        <f aca="false">SUM(N50:R50)</f>
        <v>0</v>
      </c>
      <c r="N50" s="21"/>
      <c r="O50" s="21"/>
      <c r="P50" s="21"/>
      <c r="Q50" s="21"/>
      <c r="R50" s="21"/>
      <c r="S50" s="21" t="n">
        <f aca="false">SUM(T50:X50)</f>
        <v>0</v>
      </c>
      <c r="T50" s="21"/>
      <c r="U50" s="21"/>
      <c r="V50" s="21"/>
      <c r="W50" s="21"/>
      <c r="X50" s="21"/>
      <c r="Y50" s="21" t="n">
        <f aca="false">SUM(Z50:AC50)</f>
        <v>0</v>
      </c>
      <c r="Z50" s="21"/>
      <c r="AA50" s="21"/>
      <c r="AB50" s="21"/>
      <c r="AC50" s="21"/>
      <c r="AD50" s="21" t="n">
        <f aca="false">SUM(AE50:AH50)</f>
        <v>0</v>
      </c>
      <c r="AE50" s="21"/>
      <c r="AF50" s="21"/>
      <c r="AG50" s="21"/>
      <c r="AH50" s="21"/>
      <c r="AI50" s="22" t="s">
        <v>193</v>
      </c>
      <c r="AJ50" s="19" t="s">
        <v>23</v>
      </c>
      <c r="AK50" s="19"/>
      <c r="AL50" s="19" t="s">
        <v>152</v>
      </c>
      <c r="AM50" s="19"/>
      <c r="AN50" s="19" t="s">
        <v>209</v>
      </c>
      <c r="AO50" s="19" t="s">
        <v>188</v>
      </c>
      <c r="AP50" s="19" t="s">
        <v>210</v>
      </c>
      <c r="AQ50" s="19" t="s">
        <v>210</v>
      </c>
      <c r="AR50" s="19"/>
      <c r="AS50" s="19" t="s">
        <v>237</v>
      </c>
      <c r="AT50" s="19" t="s">
        <v>79</v>
      </c>
      <c r="AU50" s="19"/>
    </row>
    <row r="51" customFormat="false" ht="99.75" hidden="false" customHeight="true" outlineLevel="0" collapsed="false">
      <c r="A51" s="19" t="s">
        <v>238</v>
      </c>
      <c r="B51" s="19" t="s">
        <v>183</v>
      </c>
      <c r="C51" s="19" t="s">
        <v>36</v>
      </c>
      <c r="D51" s="19" t="s">
        <v>192</v>
      </c>
      <c r="E51" s="19" t="s">
        <v>185</v>
      </c>
      <c r="F51" s="21" t="n">
        <f aca="false">SUM(G51+M51+S51+Y51+AD51)</f>
        <v>3296.3</v>
      </c>
      <c r="G51" s="21" t="n">
        <f aca="false">SUM(H51:L51)</f>
        <v>3296.3</v>
      </c>
      <c r="H51" s="21"/>
      <c r="I51" s="21"/>
      <c r="J51" s="21" t="n">
        <f aca="false">0+3.5801-0.0253-0.2585</f>
        <v>3.2963</v>
      </c>
      <c r="K51" s="21" t="n">
        <f aca="false">0+3576.5199-25.2747-258.2415</f>
        <v>3293.0037</v>
      </c>
      <c r="L51" s="21"/>
      <c r="M51" s="21" t="n">
        <f aca="false">SUM(N51:R51)</f>
        <v>0</v>
      </c>
      <c r="N51" s="21"/>
      <c r="O51" s="21"/>
      <c r="P51" s="21"/>
      <c r="Q51" s="21"/>
      <c r="R51" s="21"/>
      <c r="S51" s="21" t="n">
        <f aca="false">SUM(T51:X51)</f>
        <v>0</v>
      </c>
      <c r="T51" s="21"/>
      <c r="U51" s="21"/>
      <c r="V51" s="21"/>
      <c r="W51" s="21"/>
      <c r="X51" s="21"/>
      <c r="Y51" s="21" t="n">
        <f aca="false">SUM(Z51:AC51)</f>
        <v>0</v>
      </c>
      <c r="Z51" s="21"/>
      <c r="AA51" s="21"/>
      <c r="AB51" s="21"/>
      <c r="AC51" s="21"/>
      <c r="AD51" s="21" t="n">
        <f aca="false">SUM(AE51:AH51)</f>
        <v>0</v>
      </c>
      <c r="AE51" s="21"/>
      <c r="AF51" s="21"/>
      <c r="AG51" s="21"/>
      <c r="AH51" s="21"/>
      <c r="AI51" s="22" t="s">
        <v>193</v>
      </c>
      <c r="AJ51" s="19" t="s">
        <v>23</v>
      </c>
      <c r="AK51" s="19"/>
      <c r="AL51" s="19" t="s">
        <v>152</v>
      </c>
      <c r="AM51" s="19"/>
      <c r="AN51" s="19" t="s">
        <v>185</v>
      </c>
      <c r="AO51" s="19" t="s">
        <v>188</v>
      </c>
      <c r="AP51" s="19" t="s">
        <v>239</v>
      </c>
      <c r="AQ51" s="19" t="s">
        <v>239</v>
      </c>
      <c r="AR51" s="19"/>
      <c r="AS51" s="19" t="s">
        <v>237</v>
      </c>
      <c r="AT51" s="19" t="s">
        <v>79</v>
      </c>
      <c r="AU51" s="19"/>
    </row>
    <row r="52" customFormat="false" ht="135" hidden="false" customHeight="true" outlineLevel="0" collapsed="false">
      <c r="A52" s="19" t="s">
        <v>240</v>
      </c>
      <c r="B52" s="19" t="s">
        <v>183</v>
      </c>
      <c r="C52" s="19" t="s">
        <v>241</v>
      </c>
      <c r="D52" s="19" t="s">
        <v>242</v>
      </c>
      <c r="E52" s="19" t="s">
        <v>243</v>
      </c>
      <c r="F52" s="21" t="n">
        <f aca="false">SUM(G52+M52+S52+Y52+AD52)</f>
        <v>235170</v>
      </c>
      <c r="G52" s="21" t="n">
        <f aca="false">SUM(H52:L52)</f>
        <v>47034</v>
      </c>
      <c r="H52" s="21"/>
      <c r="I52" s="21" t="n">
        <v>47034</v>
      </c>
      <c r="J52" s="21"/>
      <c r="K52" s="21"/>
      <c r="L52" s="21"/>
      <c r="M52" s="21" t="n">
        <f aca="false">SUM(N52:R52)</f>
        <v>47034</v>
      </c>
      <c r="N52" s="21"/>
      <c r="O52" s="21" t="n">
        <v>47034</v>
      </c>
      <c r="P52" s="21"/>
      <c r="Q52" s="21"/>
      <c r="R52" s="21"/>
      <c r="S52" s="21" t="n">
        <f aca="false">SUM(T52:X52)</f>
        <v>47034</v>
      </c>
      <c r="T52" s="21"/>
      <c r="U52" s="21" t="n">
        <v>47034</v>
      </c>
      <c r="V52" s="21"/>
      <c r="W52" s="21"/>
      <c r="X52" s="21"/>
      <c r="Y52" s="21" t="n">
        <f aca="false">SUM(Z52:AC52)</f>
        <v>47034</v>
      </c>
      <c r="Z52" s="21"/>
      <c r="AA52" s="21" t="n">
        <v>47034</v>
      </c>
      <c r="AB52" s="21"/>
      <c r="AC52" s="21"/>
      <c r="AD52" s="21" t="n">
        <f aca="false">SUM(AE52:AH52)</f>
        <v>47034</v>
      </c>
      <c r="AE52" s="21"/>
      <c r="AF52" s="21" t="n">
        <v>47034</v>
      </c>
      <c r="AG52" s="21"/>
      <c r="AH52" s="21"/>
      <c r="AI52" s="19" t="s">
        <v>244</v>
      </c>
      <c r="AJ52" s="19" t="s">
        <v>23</v>
      </c>
      <c r="AK52" s="19"/>
      <c r="AL52" s="19" t="s">
        <v>245</v>
      </c>
      <c r="AM52" s="19"/>
      <c r="AN52" s="19" t="s">
        <v>241</v>
      </c>
      <c r="AO52" s="19" t="s">
        <v>36</v>
      </c>
      <c r="AP52" s="19" t="s">
        <v>241</v>
      </c>
      <c r="AQ52" s="19" t="s">
        <v>241</v>
      </c>
      <c r="AR52" s="19"/>
      <c r="AS52" s="19" t="s">
        <v>44</v>
      </c>
      <c r="AT52" s="19" t="s">
        <v>79</v>
      </c>
      <c r="AU52" s="19"/>
    </row>
    <row r="53" customFormat="false" ht="135" hidden="false" customHeight="true" outlineLevel="0" collapsed="false">
      <c r="A53" s="19" t="s">
        <v>246</v>
      </c>
      <c r="B53" s="19" t="s">
        <v>183</v>
      </c>
      <c r="C53" s="19" t="s">
        <v>36</v>
      </c>
      <c r="D53" s="19" t="s">
        <v>247</v>
      </c>
      <c r="E53" s="19" t="s">
        <v>74</v>
      </c>
      <c r="F53" s="21" t="n">
        <f aca="false">SUM(G53+M53+S53+Y53+AD53)</f>
        <v>5000</v>
      </c>
      <c r="G53" s="21" t="n">
        <f aca="false">SUM(H53:L53)</f>
        <v>5000</v>
      </c>
      <c r="H53" s="21"/>
      <c r="I53" s="21" t="n">
        <f aca="false">0+5000</f>
        <v>5000</v>
      </c>
      <c r="J53" s="21"/>
      <c r="K53" s="21"/>
      <c r="L53" s="21"/>
      <c r="M53" s="21" t="n">
        <f aca="false">SUM(N53:R53)</f>
        <v>0</v>
      </c>
      <c r="N53" s="21"/>
      <c r="O53" s="21"/>
      <c r="P53" s="21"/>
      <c r="Q53" s="21"/>
      <c r="R53" s="21"/>
      <c r="S53" s="21" t="n">
        <f aca="false">SUM(T53:X53)</f>
        <v>0</v>
      </c>
      <c r="T53" s="21"/>
      <c r="U53" s="21"/>
      <c r="V53" s="21"/>
      <c r="W53" s="21"/>
      <c r="X53" s="21"/>
      <c r="Y53" s="21" t="n">
        <f aca="false">SUM(Z53:AC53)</f>
        <v>0</v>
      </c>
      <c r="Z53" s="21"/>
      <c r="AA53" s="21"/>
      <c r="AB53" s="21"/>
      <c r="AC53" s="21"/>
      <c r="AD53" s="21" t="n">
        <f aca="false">SUM(AE53:AH53)</f>
        <v>0</v>
      </c>
      <c r="AE53" s="21"/>
      <c r="AF53" s="21"/>
      <c r="AG53" s="21"/>
      <c r="AH53" s="21"/>
      <c r="AI53" s="23" t="s">
        <v>248</v>
      </c>
      <c r="AJ53" s="19"/>
      <c r="AK53" s="19" t="s">
        <v>23</v>
      </c>
      <c r="AL53" s="19" t="s">
        <v>40</v>
      </c>
      <c r="AM53" s="19"/>
      <c r="AN53" s="19" t="s">
        <v>57</v>
      </c>
      <c r="AO53" s="19" t="s">
        <v>36</v>
      </c>
      <c r="AP53" s="19" t="s">
        <v>36</v>
      </c>
      <c r="AQ53" s="19" t="s">
        <v>57</v>
      </c>
      <c r="AR53" s="19"/>
      <c r="AS53" s="19" t="s">
        <v>44</v>
      </c>
      <c r="AT53" s="19" t="s">
        <v>71</v>
      </c>
      <c r="AU53" s="19"/>
    </row>
    <row r="54" customFormat="false" ht="135" hidden="false" customHeight="true" outlineLevel="0" collapsed="false">
      <c r="A54" s="19" t="s">
        <v>249</v>
      </c>
      <c r="B54" s="19" t="s">
        <v>183</v>
      </c>
      <c r="C54" s="19" t="s">
        <v>36</v>
      </c>
      <c r="D54" s="19" t="s">
        <v>250</v>
      </c>
      <c r="E54" s="19" t="s">
        <v>122</v>
      </c>
      <c r="F54" s="21" t="n">
        <f aca="false">SUM(G54+M54+S54+Y54+AD54)</f>
        <v>106712.29164</v>
      </c>
      <c r="G54" s="21" t="n">
        <f aca="false">SUM(H54:L54)</f>
        <v>106712.29164</v>
      </c>
      <c r="H54" s="21"/>
      <c r="I54" s="21"/>
      <c r="J54" s="21" t="n">
        <f aca="false">0+38.06179+62.59019+38.01123-31.95091</f>
        <v>106.7123</v>
      </c>
      <c r="K54" s="21" t="n">
        <f aca="false">0+38023.72765+100500.81503-31918.96334</f>
        <v>106605.57934</v>
      </c>
      <c r="L54" s="21"/>
      <c r="M54" s="21" t="n">
        <f aca="false">SUM(N54:R54)</f>
        <v>0</v>
      </c>
      <c r="N54" s="21"/>
      <c r="O54" s="21"/>
      <c r="P54" s="21"/>
      <c r="Q54" s="21"/>
      <c r="R54" s="21"/>
      <c r="S54" s="21" t="n">
        <f aca="false">SUM(T54:X54)</f>
        <v>0</v>
      </c>
      <c r="T54" s="21"/>
      <c r="U54" s="21"/>
      <c r="V54" s="21"/>
      <c r="W54" s="21"/>
      <c r="X54" s="21"/>
      <c r="Y54" s="21" t="n">
        <f aca="false">SUM(Z54:AC54)</f>
        <v>0</v>
      </c>
      <c r="Z54" s="21"/>
      <c r="AA54" s="21"/>
      <c r="AB54" s="21"/>
      <c r="AC54" s="21"/>
      <c r="AD54" s="21" t="n">
        <f aca="false">SUM(AE54:AH54)</f>
        <v>0</v>
      </c>
      <c r="AE54" s="21"/>
      <c r="AF54" s="21"/>
      <c r="AG54" s="21"/>
      <c r="AH54" s="21"/>
      <c r="AI54" s="23" t="s">
        <v>193</v>
      </c>
      <c r="AJ54" s="19" t="s">
        <v>23</v>
      </c>
      <c r="AK54" s="19"/>
      <c r="AL54" s="19" t="s">
        <v>152</v>
      </c>
      <c r="AM54" s="19"/>
      <c r="AN54" s="19" t="s">
        <v>122</v>
      </c>
      <c r="AO54" s="19" t="s">
        <v>36</v>
      </c>
      <c r="AP54" s="19" t="s">
        <v>155</v>
      </c>
      <c r="AQ54" s="19" t="s">
        <v>155</v>
      </c>
      <c r="AR54" s="19"/>
      <c r="AS54" s="19" t="s">
        <v>157</v>
      </c>
      <c r="AT54" s="19" t="s">
        <v>79</v>
      </c>
      <c r="AU54" s="19"/>
    </row>
    <row r="55" s="14" customFormat="true" ht="135" hidden="false" customHeight="true" outlineLevel="0" collapsed="false">
      <c r="A55" s="19" t="s">
        <v>251</v>
      </c>
      <c r="B55" s="19" t="s">
        <v>252</v>
      </c>
      <c r="C55" s="19" t="s">
        <v>241</v>
      </c>
      <c r="D55" s="19" t="s">
        <v>253</v>
      </c>
      <c r="E55" s="19" t="s">
        <v>122</v>
      </c>
      <c r="F55" s="21" t="n">
        <f aca="false">SUM(G55+M55+S55+Y55+AD55)</f>
        <v>12500</v>
      </c>
      <c r="G55" s="21" t="n">
        <f aca="false">SUM(H55:L55)</f>
        <v>12500</v>
      </c>
      <c r="H55" s="21"/>
      <c r="I55" s="21" t="n">
        <f aca="false">0+12500</f>
        <v>12500</v>
      </c>
      <c r="J55" s="21"/>
      <c r="K55" s="21"/>
      <c r="L55" s="21"/>
      <c r="M55" s="21" t="n">
        <f aca="false">SUM(N55:R55)</f>
        <v>0</v>
      </c>
      <c r="N55" s="21"/>
      <c r="O55" s="21"/>
      <c r="P55" s="21"/>
      <c r="Q55" s="21"/>
      <c r="R55" s="21"/>
      <c r="S55" s="21" t="n">
        <f aca="false">SUM(T55:X55)</f>
        <v>0</v>
      </c>
      <c r="T55" s="21"/>
      <c r="U55" s="21"/>
      <c r="V55" s="21"/>
      <c r="W55" s="21"/>
      <c r="X55" s="21"/>
      <c r="Y55" s="21" t="n">
        <f aca="false">SUM(Z55:AC55)</f>
        <v>0</v>
      </c>
      <c r="Z55" s="21"/>
      <c r="AA55" s="21"/>
      <c r="AB55" s="21"/>
      <c r="AC55" s="21"/>
      <c r="AD55" s="21" t="n">
        <f aca="false">SUM(AE55:AH55)</f>
        <v>0</v>
      </c>
      <c r="AE55" s="21"/>
      <c r="AF55" s="21"/>
      <c r="AG55" s="21"/>
      <c r="AH55" s="21"/>
      <c r="AI55" s="26" t="s">
        <v>244</v>
      </c>
      <c r="AJ55" s="34" t="s">
        <v>23</v>
      </c>
      <c r="AK55" s="34"/>
      <c r="AL55" s="26" t="s">
        <v>245</v>
      </c>
      <c r="AM55" s="19"/>
      <c r="AN55" s="19" t="s">
        <v>241</v>
      </c>
      <c r="AO55" s="19" t="s">
        <v>36</v>
      </c>
      <c r="AP55" s="19" t="s">
        <v>241</v>
      </c>
      <c r="AQ55" s="19" t="s">
        <v>241</v>
      </c>
      <c r="AR55" s="31" t="s">
        <v>254</v>
      </c>
      <c r="AS55" s="19" t="s">
        <v>255</v>
      </c>
      <c r="AT55" s="19" t="s">
        <v>79</v>
      </c>
      <c r="AU55" s="19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</row>
    <row r="56" customFormat="false" ht="99.75" hidden="false" customHeight="true" outlineLevel="0" collapsed="false">
      <c r="A56" s="19" t="s">
        <v>256</v>
      </c>
      <c r="B56" s="19" t="s">
        <v>257</v>
      </c>
      <c r="C56" s="19" t="s">
        <v>36</v>
      </c>
      <c r="D56" s="19" t="s">
        <v>258</v>
      </c>
      <c r="E56" s="19" t="s">
        <v>93</v>
      </c>
      <c r="F56" s="21" t="n">
        <f aca="false">SUM(G56+M56+S56+Y56+AD56)</f>
        <v>322484.38633</v>
      </c>
      <c r="G56" s="21" t="n">
        <f aca="false">SUM(H56:L56)</f>
        <v>322484.38633</v>
      </c>
      <c r="H56" s="21" t="n">
        <f aca="false">0+107184.38633</f>
        <v>107184.38633</v>
      </c>
      <c r="I56" s="21" t="n">
        <f aca="false">120000+95300</f>
        <v>215300</v>
      </c>
      <c r="J56" s="21"/>
      <c r="K56" s="21"/>
      <c r="L56" s="21"/>
      <c r="M56" s="21" t="n">
        <f aca="false">SUM(N56:R56)</f>
        <v>0</v>
      </c>
      <c r="N56" s="21"/>
      <c r="O56" s="21"/>
      <c r="P56" s="21"/>
      <c r="Q56" s="21"/>
      <c r="R56" s="21"/>
      <c r="S56" s="21" t="n">
        <f aca="false">SUM(T56:X56)</f>
        <v>0</v>
      </c>
      <c r="T56" s="21"/>
      <c r="U56" s="21"/>
      <c r="V56" s="21"/>
      <c r="W56" s="21"/>
      <c r="X56" s="21"/>
      <c r="Y56" s="21" t="n">
        <f aca="false">SUM(Z56:AC56)</f>
        <v>0</v>
      </c>
      <c r="Z56" s="21"/>
      <c r="AA56" s="21"/>
      <c r="AB56" s="21"/>
      <c r="AC56" s="21"/>
      <c r="AD56" s="21" t="n">
        <f aca="false">SUM(AE56:AH56)</f>
        <v>0</v>
      </c>
      <c r="AE56" s="21"/>
      <c r="AF56" s="21"/>
      <c r="AG56" s="21"/>
      <c r="AH56" s="21"/>
      <c r="AI56" s="23" t="s">
        <v>259</v>
      </c>
      <c r="AJ56" s="19" t="s">
        <v>23</v>
      </c>
      <c r="AK56" s="19" t="s">
        <v>61</v>
      </c>
      <c r="AL56" s="19" t="s">
        <v>40</v>
      </c>
      <c r="AM56" s="19" t="s">
        <v>260</v>
      </c>
      <c r="AN56" s="19" t="s">
        <v>63</v>
      </c>
      <c r="AO56" s="19" t="s">
        <v>261</v>
      </c>
      <c r="AP56" s="19" t="s">
        <v>36</v>
      </c>
      <c r="AQ56" s="19" t="s">
        <v>63</v>
      </c>
      <c r="AR56" s="19" t="s">
        <v>262</v>
      </c>
      <c r="AS56" s="19" t="s">
        <v>255</v>
      </c>
      <c r="AT56" s="19" t="s">
        <v>45</v>
      </c>
      <c r="AU56" s="19" t="s">
        <v>263</v>
      </c>
    </row>
    <row r="57" customFormat="false" ht="99.75" hidden="false" customHeight="true" outlineLevel="0" collapsed="false">
      <c r="A57" s="19" t="s">
        <v>264</v>
      </c>
      <c r="B57" s="19" t="s">
        <v>257</v>
      </c>
      <c r="C57" s="19" t="s">
        <v>265</v>
      </c>
      <c r="D57" s="19" t="s">
        <v>266</v>
      </c>
      <c r="E57" s="19" t="s">
        <v>122</v>
      </c>
      <c r="F57" s="21" t="n">
        <f aca="false">SUM(G57+M57+S57+Y57+AD57)</f>
        <v>869742.74455</v>
      </c>
      <c r="G57" s="21" t="n">
        <f aca="false">SUM(H57:L57)</f>
        <v>0</v>
      </c>
      <c r="H57" s="21"/>
      <c r="I57" s="21"/>
      <c r="J57" s="21"/>
      <c r="K57" s="21"/>
      <c r="L57" s="21"/>
      <c r="M57" s="21" t="n">
        <f aca="false">SUM(N57:R57)</f>
        <v>421390.53455</v>
      </c>
      <c r="N57" s="21"/>
      <c r="O57" s="21" t="n">
        <f aca="false">490000.21-62.29-48305.03411-13522.75983-6719.59151</f>
        <v>421390.53455</v>
      </c>
      <c r="P57" s="21"/>
      <c r="Q57" s="21"/>
      <c r="R57" s="21"/>
      <c r="S57" s="21" t="n">
        <f aca="false">SUM(T57:X57)</f>
        <v>448352.21</v>
      </c>
      <c r="T57" s="21"/>
      <c r="U57" s="21" t="n">
        <f aca="false">490000.21-41648</f>
        <v>448352.21</v>
      </c>
      <c r="V57" s="21"/>
      <c r="W57" s="21"/>
      <c r="X57" s="21"/>
      <c r="Y57" s="21" t="n">
        <f aca="false">SUM(Z57:AC57)</f>
        <v>0</v>
      </c>
      <c r="Z57" s="21"/>
      <c r="AA57" s="21"/>
      <c r="AB57" s="21"/>
      <c r="AC57" s="21"/>
      <c r="AD57" s="21" t="n">
        <f aca="false">SUM(AE57:AH57)</f>
        <v>0</v>
      </c>
      <c r="AE57" s="21"/>
      <c r="AF57" s="21"/>
      <c r="AG57" s="21"/>
      <c r="AH57" s="21"/>
      <c r="AI57" s="23" t="s">
        <v>259</v>
      </c>
      <c r="AJ57" s="19" t="s">
        <v>25</v>
      </c>
      <c r="AK57" s="19" t="s">
        <v>61</v>
      </c>
      <c r="AL57" s="19" t="s">
        <v>267</v>
      </c>
      <c r="AM57" s="19" t="s">
        <v>268</v>
      </c>
      <c r="AN57" s="19" t="s">
        <v>269</v>
      </c>
      <c r="AO57" s="19" t="s">
        <v>269</v>
      </c>
      <c r="AP57" s="19" t="s">
        <v>261</v>
      </c>
      <c r="AQ57" s="19" t="s">
        <v>270</v>
      </c>
      <c r="AR57" s="35" t="s">
        <v>271</v>
      </c>
      <c r="AS57" s="19" t="s">
        <v>255</v>
      </c>
      <c r="AT57" s="26" t="s">
        <v>45</v>
      </c>
      <c r="AU57" s="26" t="s">
        <v>272</v>
      </c>
    </row>
    <row r="58" customFormat="false" ht="99.75" hidden="false" customHeight="true" outlineLevel="0" collapsed="false">
      <c r="A58" s="19" t="s">
        <v>273</v>
      </c>
      <c r="B58" s="19" t="s">
        <v>257</v>
      </c>
      <c r="C58" s="19" t="s">
        <v>265</v>
      </c>
      <c r="D58" s="19" t="s">
        <v>274</v>
      </c>
      <c r="E58" s="19" t="s">
        <v>122</v>
      </c>
      <c r="F58" s="21" t="n">
        <f aca="false">SUM(G58+M58+S58+Y58+AD58)</f>
        <v>125000</v>
      </c>
      <c r="G58" s="21" t="n">
        <f aca="false">SUM(H58:L58)</f>
        <v>0</v>
      </c>
      <c r="H58" s="21"/>
      <c r="I58" s="21" t="n">
        <f aca="false">120000+5000-125000</f>
        <v>0</v>
      </c>
      <c r="J58" s="21"/>
      <c r="K58" s="21"/>
      <c r="L58" s="21"/>
      <c r="M58" s="21" t="n">
        <f aca="false">SUM(N58:R58)</f>
        <v>125000</v>
      </c>
      <c r="N58" s="21"/>
      <c r="O58" s="21" t="n">
        <f aca="false">0+125000</f>
        <v>125000</v>
      </c>
      <c r="P58" s="21"/>
      <c r="Q58" s="21"/>
      <c r="R58" s="21"/>
      <c r="S58" s="21" t="n">
        <f aca="false">SUM(T58:X58)</f>
        <v>0</v>
      </c>
      <c r="T58" s="21"/>
      <c r="U58" s="21"/>
      <c r="V58" s="21"/>
      <c r="W58" s="21"/>
      <c r="X58" s="21"/>
      <c r="Y58" s="21" t="n">
        <f aca="false">SUM(Z58:AC58)</f>
        <v>0</v>
      </c>
      <c r="Z58" s="21"/>
      <c r="AA58" s="21"/>
      <c r="AB58" s="21"/>
      <c r="AC58" s="21"/>
      <c r="AD58" s="21" t="n">
        <f aca="false">SUM(AE58:AH58)</f>
        <v>0</v>
      </c>
      <c r="AE58" s="21"/>
      <c r="AF58" s="21"/>
      <c r="AG58" s="21"/>
      <c r="AH58" s="21"/>
      <c r="AI58" s="23" t="s">
        <v>259</v>
      </c>
      <c r="AJ58" s="26" t="s">
        <v>24</v>
      </c>
      <c r="AK58" s="19" t="s">
        <v>23</v>
      </c>
      <c r="AL58" s="19" t="s">
        <v>267</v>
      </c>
      <c r="AM58" s="19" t="s">
        <v>275</v>
      </c>
      <c r="AN58" s="19" t="s">
        <v>269</v>
      </c>
      <c r="AO58" s="19" t="s">
        <v>269</v>
      </c>
      <c r="AP58" s="19" t="s">
        <v>261</v>
      </c>
      <c r="AQ58" s="19" t="s">
        <v>270</v>
      </c>
      <c r="AR58" s="19" t="s">
        <v>276</v>
      </c>
      <c r="AS58" s="19" t="s">
        <v>255</v>
      </c>
      <c r="AT58" s="19" t="s">
        <v>45</v>
      </c>
      <c r="AU58" s="19"/>
    </row>
    <row r="59" customFormat="false" ht="99.75" hidden="false" customHeight="true" outlineLevel="0" collapsed="false">
      <c r="A59" s="19" t="s">
        <v>277</v>
      </c>
      <c r="B59" s="19" t="s">
        <v>257</v>
      </c>
      <c r="C59" s="19" t="s">
        <v>265</v>
      </c>
      <c r="D59" s="19" t="s">
        <v>278</v>
      </c>
      <c r="E59" s="19" t="s">
        <v>122</v>
      </c>
      <c r="F59" s="21" t="n">
        <f aca="false">SUM(G59+M59+S59+Y59+AD59)</f>
        <v>15238.3</v>
      </c>
      <c r="G59" s="21" t="n">
        <f aca="false">SUM(H59:L59)</f>
        <v>15238.3</v>
      </c>
      <c r="H59" s="21"/>
      <c r="I59" s="21" t="n">
        <f aca="false">0+15238.3</f>
        <v>15238.3</v>
      </c>
      <c r="J59" s="21"/>
      <c r="K59" s="21"/>
      <c r="L59" s="21"/>
      <c r="M59" s="21" t="n">
        <f aca="false">SUM(N59:R59)</f>
        <v>0</v>
      </c>
      <c r="N59" s="21"/>
      <c r="O59" s="21"/>
      <c r="P59" s="21"/>
      <c r="Q59" s="21"/>
      <c r="R59" s="21"/>
      <c r="S59" s="21" t="n">
        <f aca="false">SUM(T59:X59)</f>
        <v>0</v>
      </c>
      <c r="T59" s="21"/>
      <c r="U59" s="21"/>
      <c r="V59" s="21"/>
      <c r="W59" s="21"/>
      <c r="X59" s="21"/>
      <c r="Y59" s="21" t="n">
        <f aca="false">SUM(Z59:AC59)</f>
        <v>0</v>
      </c>
      <c r="Z59" s="21"/>
      <c r="AA59" s="21"/>
      <c r="AB59" s="21"/>
      <c r="AC59" s="21"/>
      <c r="AD59" s="21" t="n">
        <f aca="false">SUM(AE59:AH59)</f>
        <v>0</v>
      </c>
      <c r="AE59" s="21"/>
      <c r="AF59" s="21"/>
      <c r="AG59" s="21"/>
      <c r="AH59" s="21"/>
      <c r="AI59" s="23" t="s">
        <v>259</v>
      </c>
      <c r="AJ59" s="19" t="s">
        <v>23</v>
      </c>
      <c r="AK59" s="19" t="s">
        <v>61</v>
      </c>
      <c r="AL59" s="19" t="s">
        <v>267</v>
      </c>
      <c r="AM59" s="19" t="s">
        <v>279</v>
      </c>
      <c r="AN59" s="19" t="s">
        <v>269</v>
      </c>
      <c r="AO59" s="19" t="s">
        <v>269</v>
      </c>
      <c r="AP59" s="19" t="s">
        <v>261</v>
      </c>
      <c r="AQ59" s="19" t="s">
        <v>270</v>
      </c>
      <c r="AR59" s="26" t="s">
        <v>280</v>
      </c>
      <c r="AS59" s="19" t="s">
        <v>255</v>
      </c>
      <c r="AT59" s="19" t="s">
        <v>71</v>
      </c>
      <c r="AU59" s="19"/>
    </row>
    <row r="60" customFormat="false" ht="99.75" hidden="false" customHeight="true" outlineLevel="0" collapsed="false">
      <c r="A60" s="19" t="s">
        <v>281</v>
      </c>
      <c r="B60" s="19" t="s">
        <v>257</v>
      </c>
      <c r="C60" s="19" t="s">
        <v>265</v>
      </c>
      <c r="D60" s="19" t="s">
        <v>282</v>
      </c>
      <c r="E60" s="19" t="s">
        <v>122</v>
      </c>
      <c r="F60" s="21" t="n">
        <f aca="false">SUM(G60+M60+S60+Y60+AD60)</f>
        <v>140395</v>
      </c>
      <c r="G60" s="21" t="n">
        <f aca="false">SUM(H60:L60)</f>
        <v>0</v>
      </c>
      <c r="H60" s="21"/>
      <c r="I60" s="21" t="n">
        <f aca="false">9830+130565-140395</f>
        <v>0</v>
      </c>
      <c r="J60" s="21"/>
      <c r="K60" s="21"/>
      <c r="L60" s="21"/>
      <c r="M60" s="21" t="n">
        <f aca="false">SUM(N60:R60)</f>
        <v>140395</v>
      </c>
      <c r="N60" s="21"/>
      <c r="O60" s="21" t="n">
        <f aca="false">0+140395</f>
        <v>140395</v>
      </c>
      <c r="P60" s="21"/>
      <c r="Q60" s="21"/>
      <c r="R60" s="21"/>
      <c r="S60" s="21" t="n">
        <f aca="false">SUM(T60:X60)</f>
        <v>0</v>
      </c>
      <c r="T60" s="21"/>
      <c r="U60" s="21"/>
      <c r="V60" s="21"/>
      <c r="W60" s="21"/>
      <c r="X60" s="21"/>
      <c r="Y60" s="21" t="n">
        <f aca="false">SUM(Z60:AC60)</f>
        <v>0</v>
      </c>
      <c r="Z60" s="21"/>
      <c r="AA60" s="21"/>
      <c r="AB60" s="21"/>
      <c r="AC60" s="21"/>
      <c r="AD60" s="21" t="n">
        <f aca="false">SUM(AE60:AH60)</f>
        <v>0</v>
      </c>
      <c r="AE60" s="21"/>
      <c r="AF60" s="21"/>
      <c r="AG60" s="21"/>
      <c r="AH60" s="21"/>
      <c r="AI60" s="23" t="s">
        <v>259</v>
      </c>
      <c r="AJ60" s="19" t="s">
        <v>23</v>
      </c>
      <c r="AK60" s="19" t="s">
        <v>61</v>
      </c>
      <c r="AL60" s="19" t="s">
        <v>267</v>
      </c>
      <c r="AM60" s="19" t="s">
        <v>279</v>
      </c>
      <c r="AN60" s="19" t="s">
        <v>269</v>
      </c>
      <c r="AO60" s="19" t="s">
        <v>269</v>
      </c>
      <c r="AP60" s="19" t="s">
        <v>261</v>
      </c>
      <c r="AQ60" s="19" t="s">
        <v>270</v>
      </c>
      <c r="AR60" s="26" t="s">
        <v>280</v>
      </c>
      <c r="AS60" s="19" t="s">
        <v>255</v>
      </c>
      <c r="AT60" s="19" t="s">
        <v>45</v>
      </c>
      <c r="AU60" s="19"/>
    </row>
    <row r="61" customFormat="false" ht="99.75" hidden="false" customHeight="true" outlineLevel="0" collapsed="false">
      <c r="A61" s="19" t="s">
        <v>283</v>
      </c>
      <c r="B61" s="19" t="s">
        <v>257</v>
      </c>
      <c r="C61" s="19" t="s">
        <v>265</v>
      </c>
      <c r="D61" s="19" t="s">
        <v>284</v>
      </c>
      <c r="E61" s="19" t="s">
        <v>122</v>
      </c>
      <c r="F61" s="21" t="n">
        <f aca="false">SUM(G61+M61+S61+Y61+AD61)</f>
        <v>26975</v>
      </c>
      <c r="G61" s="21" t="n">
        <f aca="false">SUM(H61:L61)</f>
        <v>0</v>
      </c>
      <c r="H61" s="21"/>
      <c r="I61" s="21" t="n">
        <f aca="false">7610+19365-26975</f>
        <v>0</v>
      </c>
      <c r="J61" s="21"/>
      <c r="K61" s="21"/>
      <c r="L61" s="21"/>
      <c r="M61" s="21" t="n">
        <f aca="false">SUM(N61:R61)</f>
        <v>26975</v>
      </c>
      <c r="N61" s="21"/>
      <c r="O61" s="21" t="n">
        <f aca="false">0+26975</f>
        <v>26975</v>
      </c>
      <c r="P61" s="21"/>
      <c r="Q61" s="21"/>
      <c r="R61" s="21"/>
      <c r="S61" s="21" t="n">
        <f aca="false">SUM(T61:X61)</f>
        <v>0</v>
      </c>
      <c r="T61" s="21"/>
      <c r="U61" s="21"/>
      <c r="V61" s="21"/>
      <c r="W61" s="21"/>
      <c r="X61" s="21"/>
      <c r="Y61" s="21" t="n">
        <f aca="false">SUM(Z61:AC61)</f>
        <v>0</v>
      </c>
      <c r="Z61" s="21"/>
      <c r="AA61" s="21"/>
      <c r="AB61" s="21"/>
      <c r="AC61" s="21"/>
      <c r="AD61" s="21" t="n">
        <f aca="false">SUM(AE61:AH61)</f>
        <v>0</v>
      </c>
      <c r="AE61" s="21"/>
      <c r="AF61" s="21"/>
      <c r="AG61" s="21"/>
      <c r="AH61" s="21"/>
      <c r="AI61" s="23" t="s">
        <v>259</v>
      </c>
      <c r="AJ61" s="19" t="s">
        <v>24</v>
      </c>
      <c r="AK61" s="19" t="s">
        <v>61</v>
      </c>
      <c r="AL61" s="19" t="s">
        <v>267</v>
      </c>
      <c r="AM61" s="19" t="s">
        <v>285</v>
      </c>
      <c r="AN61" s="19" t="s">
        <v>269</v>
      </c>
      <c r="AO61" s="19" t="s">
        <v>269</v>
      </c>
      <c r="AP61" s="19" t="s">
        <v>261</v>
      </c>
      <c r="AQ61" s="19" t="s">
        <v>270</v>
      </c>
      <c r="AR61" s="26" t="s">
        <v>286</v>
      </c>
      <c r="AS61" s="19" t="s">
        <v>255</v>
      </c>
      <c r="AT61" s="19" t="s">
        <v>45</v>
      </c>
      <c r="AU61" s="19"/>
    </row>
    <row r="62" customFormat="false" ht="99.75" hidden="false" customHeight="true" outlineLevel="0" collapsed="false">
      <c r="A62" s="19" t="s">
        <v>287</v>
      </c>
      <c r="B62" s="19" t="s">
        <v>257</v>
      </c>
      <c r="C62" s="19" t="s">
        <v>265</v>
      </c>
      <c r="D62" s="19" t="s">
        <v>288</v>
      </c>
      <c r="E62" s="19" t="s">
        <v>122</v>
      </c>
      <c r="F62" s="21" t="n">
        <f aca="false">SUM(G62+M62+S62+Y62+AD62)</f>
        <v>71250</v>
      </c>
      <c r="G62" s="21" t="n">
        <f aca="false">SUM(H62:L62)</f>
        <v>71250</v>
      </c>
      <c r="H62" s="21" t="n">
        <f aca="false">0+70537.5</f>
        <v>70537.5</v>
      </c>
      <c r="I62" s="21" t="n">
        <f aca="false">71250-70537.5</f>
        <v>712.5</v>
      </c>
      <c r="J62" s="21"/>
      <c r="K62" s="21"/>
      <c r="L62" s="21"/>
      <c r="M62" s="21" t="n">
        <f aca="false">SUM(N62:R62)</f>
        <v>0</v>
      </c>
      <c r="N62" s="21"/>
      <c r="O62" s="21"/>
      <c r="P62" s="21"/>
      <c r="Q62" s="21"/>
      <c r="R62" s="21"/>
      <c r="S62" s="21" t="n">
        <f aca="false">SUM(T62:X62)</f>
        <v>0</v>
      </c>
      <c r="T62" s="21"/>
      <c r="U62" s="21"/>
      <c r="V62" s="21"/>
      <c r="W62" s="21"/>
      <c r="X62" s="21"/>
      <c r="Y62" s="21" t="n">
        <f aca="false">SUM(Z62:AC62)</f>
        <v>0</v>
      </c>
      <c r="Z62" s="21"/>
      <c r="AA62" s="21"/>
      <c r="AB62" s="21"/>
      <c r="AC62" s="21"/>
      <c r="AD62" s="21" t="n">
        <f aca="false">SUM(AE62:AH62)</f>
        <v>0</v>
      </c>
      <c r="AE62" s="21"/>
      <c r="AF62" s="21"/>
      <c r="AG62" s="21"/>
      <c r="AH62" s="21"/>
      <c r="AI62" s="23" t="s">
        <v>259</v>
      </c>
      <c r="AJ62" s="19" t="s">
        <v>25</v>
      </c>
      <c r="AK62" s="19" t="s">
        <v>23</v>
      </c>
      <c r="AL62" s="19" t="s">
        <v>267</v>
      </c>
      <c r="AM62" s="19" t="s">
        <v>289</v>
      </c>
      <c r="AN62" s="19" t="s">
        <v>269</v>
      </c>
      <c r="AO62" s="19" t="s">
        <v>269</v>
      </c>
      <c r="AP62" s="19" t="s">
        <v>261</v>
      </c>
      <c r="AQ62" s="19" t="s">
        <v>270</v>
      </c>
      <c r="AR62" s="26" t="s">
        <v>290</v>
      </c>
      <c r="AS62" s="19" t="s">
        <v>255</v>
      </c>
      <c r="AT62" s="19" t="s">
        <v>291</v>
      </c>
      <c r="AU62" s="19"/>
    </row>
    <row r="63" customFormat="false" ht="99.75" hidden="false" customHeight="true" outlineLevel="0" collapsed="false">
      <c r="A63" s="19" t="s">
        <v>292</v>
      </c>
      <c r="B63" s="19" t="s">
        <v>257</v>
      </c>
      <c r="C63" s="19" t="s">
        <v>265</v>
      </c>
      <c r="D63" s="19" t="s">
        <v>293</v>
      </c>
      <c r="E63" s="19" t="s">
        <v>122</v>
      </c>
      <c r="F63" s="21" t="n">
        <f aca="false">SUM(G63+M63+S63+Y63+AD63)</f>
        <v>156735.64912</v>
      </c>
      <c r="G63" s="21" t="n">
        <f aca="false">SUM(H63:L63)</f>
        <v>156735.64912</v>
      </c>
      <c r="H63" s="21"/>
      <c r="I63" s="21" t="n">
        <v>153600.93614</v>
      </c>
      <c r="J63" s="21" t="n">
        <v>3134.71298</v>
      </c>
      <c r="K63" s="21"/>
      <c r="L63" s="21"/>
      <c r="M63" s="21" t="n">
        <f aca="false">SUM(N63:R63)</f>
        <v>0</v>
      </c>
      <c r="N63" s="21"/>
      <c r="O63" s="21"/>
      <c r="P63" s="21"/>
      <c r="Q63" s="21"/>
      <c r="R63" s="21"/>
      <c r="S63" s="21" t="n">
        <f aca="false">SUM(T63:X63)</f>
        <v>0</v>
      </c>
      <c r="T63" s="21"/>
      <c r="U63" s="21"/>
      <c r="V63" s="21"/>
      <c r="W63" s="21"/>
      <c r="X63" s="21"/>
      <c r="Y63" s="21" t="n">
        <f aca="false">SUM(Z63:AC63)</f>
        <v>0</v>
      </c>
      <c r="Z63" s="21"/>
      <c r="AA63" s="21"/>
      <c r="AB63" s="21"/>
      <c r="AC63" s="21"/>
      <c r="AD63" s="21" t="n">
        <f aca="false">SUM(AE63:AH63)</f>
        <v>0</v>
      </c>
      <c r="AE63" s="21"/>
      <c r="AF63" s="21"/>
      <c r="AG63" s="21"/>
      <c r="AH63" s="21"/>
      <c r="AI63" s="23" t="s">
        <v>259</v>
      </c>
      <c r="AJ63" s="19" t="s">
        <v>23</v>
      </c>
      <c r="AK63" s="19" t="s">
        <v>61</v>
      </c>
      <c r="AL63" s="19" t="s">
        <v>152</v>
      </c>
      <c r="AM63" s="19" t="s">
        <v>294</v>
      </c>
      <c r="AN63" s="19" t="s">
        <v>122</v>
      </c>
      <c r="AO63" s="19" t="s">
        <v>269</v>
      </c>
      <c r="AP63" s="19" t="s">
        <v>155</v>
      </c>
      <c r="AQ63" s="19" t="s">
        <v>295</v>
      </c>
      <c r="AR63" s="19" t="s">
        <v>296</v>
      </c>
      <c r="AS63" s="19" t="s">
        <v>157</v>
      </c>
      <c r="AT63" s="19" t="s">
        <v>96</v>
      </c>
      <c r="AU63" s="26" t="s">
        <v>297</v>
      </c>
    </row>
    <row r="64" customFormat="false" ht="99.75" hidden="false" customHeight="true" outlineLevel="0" collapsed="false">
      <c r="A64" s="19" t="s">
        <v>298</v>
      </c>
      <c r="B64" s="19" t="s">
        <v>257</v>
      </c>
      <c r="C64" s="19" t="s">
        <v>265</v>
      </c>
      <c r="D64" s="19" t="s">
        <v>299</v>
      </c>
      <c r="E64" s="19" t="s">
        <v>122</v>
      </c>
      <c r="F64" s="21" t="n">
        <f aca="false">SUM(G64+M64+S64+Y64+AD64)</f>
        <v>39008.89</v>
      </c>
      <c r="G64" s="21" t="n">
        <f aca="false">SUM(H64:L64)</f>
        <v>39008.89</v>
      </c>
      <c r="H64" s="21" t="n">
        <f aca="false">0+39008.89</f>
        <v>39008.89</v>
      </c>
      <c r="I64" s="21" t="n">
        <f aca="false">140817.00088-472.57768-140344.4232</f>
        <v>0</v>
      </c>
      <c r="J64" s="21"/>
      <c r="K64" s="21"/>
      <c r="L64" s="21"/>
      <c r="M64" s="21" t="n">
        <f aca="false">SUM(N64:R64)</f>
        <v>0</v>
      </c>
      <c r="N64" s="21"/>
      <c r="O64" s="21"/>
      <c r="P64" s="21"/>
      <c r="Q64" s="21"/>
      <c r="R64" s="21"/>
      <c r="S64" s="21" t="n">
        <f aca="false">SUM(T64:X64)</f>
        <v>0</v>
      </c>
      <c r="T64" s="21"/>
      <c r="U64" s="21"/>
      <c r="V64" s="21"/>
      <c r="W64" s="21"/>
      <c r="X64" s="21"/>
      <c r="Y64" s="21" t="n">
        <f aca="false">SUM(Z64:AC64)</f>
        <v>0</v>
      </c>
      <c r="Z64" s="21"/>
      <c r="AA64" s="21"/>
      <c r="AB64" s="21"/>
      <c r="AC64" s="21"/>
      <c r="AD64" s="21" t="n">
        <f aca="false">SUM(AE64:AH64)</f>
        <v>0</v>
      </c>
      <c r="AE64" s="21"/>
      <c r="AF64" s="21"/>
      <c r="AG64" s="21"/>
      <c r="AH64" s="21"/>
      <c r="AI64" s="23" t="s">
        <v>259</v>
      </c>
      <c r="AJ64" s="19" t="s">
        <v>23</v>
      </c>
      <c r="AK64" s="19"/>
      <c r="AL64" s="19" t="s">
        <v>267</v>
      </c>
      <c r="AM64" s="19" t="s">
        <v>300</v>
      </c>
      <c r="AN64" s="19" t="s">
        <v>269</v>
      </c>
      <c r="AO64" s="19" t="s">
        <v>269</v>
      </c>
      <c r="AP64" s="19" t="s">
        <v>261</v>
      </c>
      <c r="AQ64" s="19" t="s">
        <v>270</v>
      </c>
      <c r="AR64" s="26" t="s">
        <v>301</v>
      </c>
      <c r="AS64" s="19" t="s">
        <v>44</v>
      </c>
      <c r="AT64" s="26" t="s">
        <v>96</v>
      </c>
      <c r="AU64" s="26" t="s">
        <v>302</v>
      </c>
    </row>
    <row r="65" customFormat="false" ht="99.75" hidden="false" customHeight="true" outlineLevel="0" collapsed="false">
      <c r="A65" s="19" t="s">
        <v>303</v>
      </c>
      <c r="B65" s="19" t="s">
        <v>257</v>
      </c>
      <c r="C65" s="19" t="s">
        <v>265</v>
      </c>
      <c r="D65" s="19" t="s">
        <v>304</v>
      </c>
      <c r="E65" s="19" t="s">
        <v>122</v>
      </c>
      <c r="F65" s="21" t="n">
        <f aca="false">SUM(G65+M65+S65+Y65+AD65)</f>
        <v>18631.7933</v>
      </c>
      <c r="G65" s="21" t="n">
        <f aca="false">SUM(H65:L65)</f>
        <v>18631.7933</v>
      </c>
      <c r="H65" s="21"/>
      <c r="I65" s="21" t="n">
        <v>18631.7933</v>
      </c>
      <c r="J65" s="21"/>
      <c r="K65" s="21"/>
      <c r="L65" s="21"/>
      <c r="M65" s="21" t="n">
        <f aca="false">SUM(N65:R65)</f>
        <v>0</v>
      </c>
      <c r="N65" s="21"/>
      <c r="O65" s="21"/>
      <c r="P65" s="21"/>
      <c r="Q65" s="21"/>
      <c r="R65" s="21"/>
      <c r="S65" s="21" t="n">
        <f aca="false">SUM(T65:X65)</f>
        <v>0</v>
      </c>
      <c r="T65" s="21"/>
      <c r="U65" s="21"/>
      <c r="V65" s="21"/>
      <c r="W65" s="21"/>
      <c r="X65" s="21"/>
      <c r="Y65" s="21" t="n">
        <f aca="false">SUM(Z65:AC65)</f>
        <v>0</v>
      </c>
      <c r="Z65" s="21"/>
      <c r="AA65" s="21"/>
      <c r="AB65" s="21"/>
      <c r="AC65" s="21"/>
      <c r="AD65" s="21" t="n">
        <f aca="false">SUM(AE65:AH65)</f>
        <v>0</v>
      </c>
      <c r="AE65" s="21"/>
      <c r="AF65" s="21"/>
      <c r="AG65" s="21"/>
      <c r="AH65" s="21"/>
      <c r="AI65" s="23" t="s">
        <v>259</v>
      </c>
      <c r="AJ65" s="26" t="s">
        <v>24</v>
      </c>
      <c r="AK65" s="26" t="s">
        <v>23</v>
      </c>
      <c r="AL65" s="26" t="s">
        <v>267</v>
      </c>
      <c r="AM65" s="26" t="s">
        <v>275</v>
      </c>
      <c r="AN65" s="26" t="s">
        <v>269</v>
      </c>
      <c r="AO65" s="26" t="s">
        <v>269</v>
      </c>
      <c r="AP65" s="26" t="s">
        <v>261</v>
      </c>
      <c r="AQ65" s="26" t="s">
        <v>270</v>
      </c>
      <c r="AR65" s="26"/>
      <c r="AS65" s="19" t="s">
        <v>44</v>
      </c>
      <c r="AT65" s="26" t="s">
        <v>71</v>
      </c>
      <c r="AU65" s="26"/>
    </row>
    <row r="66" customFormat="false" ht="99.75" hidden="false" customHeight="true" outlineLevel="0" collapsed="false">
      <c r="A66" s="19" t="s">
        <v>305</v>
      </c>
      <c r="B66" s="19" t="s">
        <v>257</v>
      </c>
      <c r="C66" s="19" t="s">
        <v>265</v>
      </c>
      <c r="D66" s="19" t="s">
        <v>306</v>
      </c>
      <c r="E66" s="19" t="s">
        <v>122</v>
      </c>
      <c r="F66" s="21" t="n">
        <f aca="false">SUM(G66+M66+S66+Y66+AD66)</f>
        <v>2960.9</v>
      </c>
      <c r="G66" s="21" t="n">
        <f aca="false">SUM(H66:L66)</f>
        <v>2960.9</v>
      </c>
      <c r="H66" s="21"/>
      <c r="I66" s="21" t="n">
        <v>2960.9</v>
      </c>
      <c r="J66" s="21"/>
      <c r="K66" s="21"/>
      <c r="L66" s="21"/>
      <c r="M66" s="21" t="n">
        <f aca="false">SUM(N66:R66)</f>
        <v>0</v>
      </c>
      <c r="N66" s="21"/>
      <c r="O66" s="21"/>
      <c r="P66" s="21"/>
      <c r="Q66" s="21"/>
      <c r="R66" s="21"/>
      <c r="S66" s="21" t="n">
        <f aca="false">SUM(T66:X66)</f>
        <v>0</v>
      </c>
      <c r="T66" s="21"/>
      <c r="U66" s="21"/>
      <c r="V66" s="21"/>
      <c r="W66" s="21"/>
      <c r="X66" s="21"/>
      <c r="Y66" s="21" t="n">
        <f aca="false">SUM(Z66:AC66)</f>
        <v>0</v>
      </c>
      <c r="Z66" s="21"/>
      <c r="AA66" s="21"/>
      <c r="AB66" s="21"/>
      <c r="AC66" s="21"/>
      <c r="AD66" s="21" t="n">
        <f aca="false">SUM(AE66:AH66)</f>
        <v>0</v>
      </c>
      <c r="AE66" s="21"/>
      <c r="AF66" s="21"/>
      <c r="AG66" s="21"/>
      <c r="AH66" s="21"/>
      <c r="AI66" s="22" t="s">
        <v>259</v>
      </c>
      <c r="AJ66" s="26"/>
      <c r="AK66" s="26" t="s">
        <v>23</v>
      </c>
      <c r="AL66" s="26" t="s">
        <v>267</v>
      </c>
      <c r="AM66" s="26" t="s">
        <v>307</v>
      </c>
      <c r="AN66" s="26" t="s">
        <v>269</v>
      </c>
      <c r="AO66" s="26" t="s">
        <v>269</v>
      </c>
      <c r="AP66" s="26" t="s">
        <v>265</v>
      </c>
      <c r="AQ66" s="26" t="s">
        <v>270</v>
      </c>
      <c r="AR66" s="26"/>
      <c r="AS66" s="19" t="s">
        <v>44</v>
      </c>
      <c r="AT66" s="26" t="s">
        <v>71</v>
      </c>
      <c r="AU66" s="26"/>
    </row>
    <row r="67" customFormat="false" ht="99.75" hidden="false" customHeight="true" outlineLevel="0" collapsed="false">
      <c r="A67" s="19" t="s">
        <v>308</v>
      </c>
      <c r="B67" s="19" t="s">
        <v>257</v>
      </c>
      <c r="C67" s="19" t="s">
        <v>265</v>
      </c>
      <c r="D67" s="19" t="s">
        <v>309</v>
      </c>
      <c r="E67" s="19" t="s">
        <v>310</v>
      </c>
      <c r="F67" s="21" t="n">
        <f aca="false">SUM(G67+M67+S67+Y67+AD67)</f>
        <v>404661.97838</v>
      </c>
      <c r="G67" s="21" t="n">
        <f aca="false">SUM(H67:L67)</f>
        <v>192394.22315</v>
      </c>
      <c r="H67" s="21"/>
      <c r="I67" s="21" t="n">
        <f aca="false">200999.21-62.64-5425.34685-3117</f>
        <v>192394.22315</v>
      </c>
      <c r="J67" s="21"/>
      <c r="K67" s="21"/>
      <c r="L67" s="21"/>
      <c r="M67" s="21" t="n">
        <f aca="false">SUM(N67:R67)</f>
        <v>212267.75523</v>
      </c>
      <c r="N67" s="21"/>
      <c r="O67" s="21" t="n">
        <f aca="false">0+221310-9042.24477</f>
        <v>212267.75523</v>
      </c>
      <c r="P67" s="21"/>
      <c r="Q67" s="21"/>
      <c r="R67" s="21"/>
      <c r="S67" s="21" t="n">
        <f aca="false">SUM(T67:X67)</f>
        <v>0</v>
      </c>
      <c r="T67" s="21"/>
      <c r="U67" s="21"/>
      <c r="V67" s="21"/>
      <c r="W67" s="21"/>
      <c r="X67" s="21"/>
      <c r="Y67" s="21" t="n">
        <f aca="false">SUM(Z67:AC67)</f>
        <v>0</v>
      </c>
      <c r="Z67" s="21"/>
      <c r="AA67" s="21"/>
      <c r="AB67" s="21"/>
      <c r="AC67" s="21"/>
      <c r="AD67" s="21" t="n">
        <f aca="false">SUM(AE67:AH67)</f>
        <v>0</v>
      </c>
      <c r="AE67" s="21"/>
      <c r="AF67" s="21"/>
      <c r="AG67" s="21"/>
      <c r="AH67" s="21"/>
      <c r="AI67" s="22" t="s">
        <v>259</v>
      </c>
      <c r="AJ67" s="19" t="s">
        <v>23</v>
      </c>
      <c r="AK67" s="19"/>
      <c r="AL67" s="19" t="s">
        <v>267</v>
      </c>
      <c r="AM67" s="19" t="s">
        <v>311</v>
      </c>
      <c r="AN67" s="19" t="s">
        <v>269</v>
      </c>
      <c r="AO67" s="19" t="s">
        <v>269</v>
      </c>
      <c r="AP67" s="19" t="s">
        <v>261</v>
      </c>
      <c r="AQ67" s="19" t="s">
        <v>270</v>
      </c>
      <c r="AR67" s="26" t="s">
        <v>312</v>
      </c>
      <c r="AS67" s="19" t="s">
        <v>44</v>
      </c>
      <c r="AT67" s="19" t="s">
        <v>313</v>
      </c>
      <c r="AU67" s="26" t="s">
        <v>314</v>
      </c>
    </row>
    <row r="68" customFormat="false" ht="99.75" hidden="false" customHeight="true" outlineLevel="0" collapsed="false">
      <c r="A68" s="19" t="s">
        <v>315</v>
      </c>
      <c r="B68" s="19" t="s">
        <v>257</v>
      </c>
      <c r="C68" s="19" t="s">
        <v>265</v>
      </c>
      <c r="D68" s="19" t="s">
        <v>316</v>
      </c>
      <c r="E68" s="19" t="s">
        <v>310</v>
      </c>
      <c r="F68" s="21" t="n">
        <f aca="false">SUM(G68+M68+S68+Y68+AD68)</f>
        <v>22364.1</v>
      </c>
      <c r="G68" s="21" t="n">
        <f aca="false">SUM(H68:L68)</f>
        <v>22364.1</v>
      </c>
      <c r="H68" s="21"/>
      <c r="I68" s="21" t="n">
        <f aca="false">0+22364.1</f>
        <v>22364.1</v>
      </c>
      <c r="J68" s="21"/>
      <c r="K68" s="21"/>
      <c r="L68" s="21"/>
      <c r="M68" s="21" t="n">
        <f aca="false">SUM(N68:R68)</f>
        <v>0</v>
      </c>
      <c r="N68" s="21"/>
      <c r="O68" s="21"/>
      <c r="P68" s="21"/>
      <c r="Q68" s="21"/>
      <c r="R68" s="21"/>
      <c r="S68" s="21" t="n">
        <f aca="false">SUM(T68:X68)</f>
        <v>0</v>
      </c>
      <c r="T68" s="21"/>
      <c r="U68" s="21"/>
      <c r="V68" s="21"/>
      <c r="W68" s="21"/>
      <c r="X68" s="21"/>
      <c r="Y68" s="21" t="n">
        <f aca="false">SUM(Z68:AC68)</f>
        <v>0</v>
      </c>
      <c r="Z68" s="21"/>
      <c r="AA68" s="21"/>
      <c r="AB68" s="21"/>
      <c r="AC68" s="21"/>
      <c r="AD68" s="21" t="n">
        <f aca="false">SUM(AE68:AH68)</f>
        <v>0</v>
      </c>
      <c r="AE68" s="21"/>
      <c r="AF68" s="21"/>
      <c r="AG68" s="21"/>
      <c r="AH68" s="21"/>
      <c r="AI68" s="22" t="s">
        <v>259</v>
      </c>
      <c r="AJ68" s="19" t="s">
        <v>24</v>
      </c>
      <c r="AK68" s="19" t="s">
        <v>23</v>
      </c>
      <c r="AL68" s="19" t="s">
        <v>267</v>
      </c>
      <c r="AM68" s="19" t="s">
        <v>317</v>
      </c>
      <c r="AN68" s="19" t="s">
        <v>269</v>
      </c>
      <c r="AO68" s="19" t="s">
        <v>269</v>
      </c>
      <c r="AP68" s="19" t="s">
        <v>261</v>
      </c>
      <c r="AQ68" s="19" t="s">
        <v>270</v>
      </c>
      <c r="AR68" s="26" t="s">
        <v>318</v>
      </c>
      <c r="AS68" s="19" t="s">
        <v>44</v>
      </c>
      <c r="AT68" s="19" t="s">
        <v>71</v>
      </c>
      <c r="AU68" s="19"/>
    </row>
    <row r="69" customFormat="false" ht="99.75" hidden="false" customHeight="true" outlineLevel="0" collapsed="false">
      <c r="A69" s="19" t="s">
        <v>319</v>
      </c>
      <c r="B69" s="19" t="s">
        <v>257</v>
      </c>
      <c r="C69" s="19" t="s">
        <v>265</v>
      </c>
      <c r="D69" s="19" t="s">
        <v>320</v>
      </c>
      <c r="E69" s="19" t="s">
        <v>310</v>
      </c>
      <c r="F69" s="21" t="n">
        <f aca="false">SUM(G69+M69+S69+Y69+AD69)</f>
        <v>350000</v>
      </c>
      <c r="G69" s="21" t="n">
        <f aca="false">SUM(H69:L69)</f>
        <v>0</v>
      </c>
      <c r="H69" s="21" t="n">
        <f aca="false">0+173250-173250</f>
        <v>0</v>
      </c>
      <c r="I69" s="21" t="n">
        <f aca="false">1732.5+17.5-1750</f>
        <v>0</v>
      </c>
      <c r="J69" s="21"/>
      <c r="K69" s="21"/>
      <c r="L69" s="21"/>
      <c r="M69" s="21" t="n">
        <f aca="false">SUM(N69:R69)</f>
        <v>105000</v>
      </c>
      <c r="N69" s="21" t="n">
        <f aca="false">0+173250-69300</f>
        <v>103950</v>
      </c>
      <c r="O69" s="21" t="n">
        <f aca="false">1732.5+17.5-700</f>
        <v>1050</v>
      </c>
      <c r="P69" s="21"/>
      <c r="Q69" s="21"/>
      <c r="R69" s="21"/>
      <c r="S69" s="21" t="n">
        <f aca="false">SUM(T69:X69)</f>
        <v>245000</v>
      </c>
      <c r="T69" s="21" t="n">
        <f aca="false">0+215600</f>
        <v>215600</v>
      </c>
      <c r="U69" s="21" t="n">
        <f aca="false">0+29400</f>
        <v>29400</v>
      </c>
      <c r="V69" s="21"/>
      <c r="W69" s="21"/>
      <c r="X69" s="21"/>
      <c r="Y69" s="21" t="n">
        <f aca="false">SUM(Z69:AC69)</f>
        <v>0</v>
      </c>
      <c r="Z69" s="21"/>
      <c r="AA69" s="21"/>
      <c r="AB69" s="21"/>
      <c r="AC69" s="21"/>
      <c r="AD69" s="21" t="n">
        <f aca="false">SUM(AE69:AH69)</f>
        <v>0</v>
      </c>
      <c r="AE69" s="21"/>
      <c r="AF69" s="21"/>
      <c r="AG69" s="21"/>
      <c r="AH69" s="21"/>
      <c r="AI69" s="22" t="s">
        <v>259</v>
      </c>
      <c r="AJ69" s="19" t="s">
        <v>25</v>
      </c>
      <c r="AK69" s="19" t="s">
        <v>23</v>
      </c>
      <c r="AL69" s="19" t="s">
        <v>267</v>
      </c>
      <c r="AM69" s="19" t="s">
        <v>317</v>
      </c>
      <c r="AN69" s="19" t="s">
        <v>269</v>
      </c>
      <c r="AO69" s="19" t="s">
        <v>269</v>
      </c>
      <c r="AP69" s="19" t="s">
        <v>261</v>
      </c>
      <c r="AQ69" s="19" t="s">
        <v>270</v>
      </c>
      <c r="AR69" s="26" t="s">
        <v>318</v>
      </c>
      <c r="AS69" s="19" t="s">
        <v>44</v>
      </c>
      <c r="AT69" s="19" t="s">
        <v>45</v>
      </c>
      <c r="AU69" s="19"/>
    </row>
    <row r="70" customFormat="false" ht="99.75" hidden="false" customHeight="true" outlineLevel="0" collapsed="false">
      <c r="A70" s="19" t="s">
        <v>321</v>
      </c>
      <c r="B70" s="19" t="s">
        <v>257</v>
      </c>
      <c r="C70" s="19" t="s">
        <v>265</v>
      </c>
      <c r="D70" s="19" t="s">
        <v>322</v>
      </c>
      <c r="E70" s="19" t="s">
        <v>310</v>
      </c>
      <c r="F70" s="21" t="n">
        <f aca="false">SUM(G70+M70+S70+Y70+AD70)</f>
        <v>14649</v>
      </c>
      <c r="G70" s="21" t="n">
        <f aca="false">SUM(H70:L70)</f>
        <v>14649</v>
      </c>
      <c r="H70" s="21" t="n">
        <f aca="false">0+14502.5</f>
        <v>14502.5</v>
      </c>
      <c r="I70" s="21" t="n">
        <f aca="false">14649-14502.5</f>
        <v>146.5</v>
      </c>
      <c r="J70" s="21"/>
      <c r="K70" s="21"/>
      <c r="L70" s="21"/>
      <c r="M70" s="21" t="n">
        <f aca="false">SUM(N70:R70)</f>
        <v>0</v>
      </c>
      <c r="N70" s="21"/>
      <c r="O70" s="21"/>
      <c r="P70" s="21"/>
      <c r="Q70" s="21"/>
      <c r="R70" s="21"/>
      <c r="S70" s="21" t="n">
        <f aca="false">SUM(T70:X70)</f>
        <v>0</v>
      </c>
      <c r="T70" s="21"/>
      <c r="U70" s="21"/>
      <c r="V70" s="21"/>
      <c r="W70" s="21"/>
      <c r="X70" s="21"/>
      <c r="Y70" s="21" t="n">
        <f aca="false">SUM(Z70:AC70)</f>
        <v>0</v>
      </c>
      <c r="Z70" s="21"/>
      <c r="AA70" s="21"/>
      <c r="AB70" s="21"/>
      <c r="AC70" s="21"/>
      <c r="AD70" s="21" t="n">
        <f aca="false">SUM(AE70:AH70)</f>
        <v>0</v>
      </c>
      <c r="AE70" s="21"/>
      <c r="AF70" s="21"/>
      <c r="AG70" s="21"/>
      <c r="AH70" s="21"/>
      <c r="AI70" s="22" t="s">
        <v>259</v>
      </c>
      <c r="AJ70" s="19" t="s">
        <v>24</v>
      </c>
      <c r="AK70" s="19" t="s">
        <v>23</v>
      </c>
      <c r="AL70" s="19" t="s">
        <v>267</v>
      </c>
      <c r="AM70" s="19" t="s">
        <v>317</v>
      </c>
      <c r="AN70" s="19" t="s">
        <v>269</v>
      </c>
      <c r="AO70" s="19" t="s">
        <v>269</v>
      </c>
      <c r="AP70" s="19" t="s">
        <v>261</v>
      </c>
      <c r="AQ70" s="19" t="s">
        <v>270</v>
      </c>
      <c r="AR70" s="35" t="s">
        <v>323</v>
      </c>
      <c r="AS70" s="19" t="s">
        <v>44</v>
      </c>
      <c r="AT70" s="19" t="s">
        <v>291</v>
      </c>
      <c r="AU70" s="19"/>
    </row>
    <row r="71" customFormat="false" ht="99.75" hidden="false" customHeight="true" outlineLevel="0" collapsed="false">
      <c r="A71" s="19" t="s">
        <v>324</v>
      </c>
      <c r="B71" s="19" t="s">
        <v>257</v>
      </c>
      <c r="C71" s="19" t="s">
        <v>265</v>
      </c>
      <c r="D71" s="19" t="s">
        <v>325</v>
      </c>
      <c r="E71" s="19" t="s">
        <v>310</v>
      </c>
      <c r="F71" s="21" t="n">
        <f aca="false">SUM(G71+M71+S71+Y71+AD71)</f>
        <v>145800</v>
      </c>
      <c r="G71" s="21" t="n">
        <f aca="false">SUM(H71:L71)</f>
        <v>0</v>
      </c>
      <c r="H71" s="21" t="n">
        <f aca="false">0+72171-72171</f>
        <v>0</v>
      </c>
      <c r="I71" s="21" t="n">
        <f aca="false">721.71+7.29-729</f>
        <v>0</v>
      </c>
      <c r="J71" s="21"/>
      <c r="K71" s="21"/>
      <c r="L71" s="21"/>
      <c r="M71" s="21" t="n">
        <f aca="false">SUM(N71:R71)</f>
        <v>43740</v>
      </c>
      <c r="N71" s="21" t="n">
        <f aca="false">0+72171-28868.4</f>
        <v>43302.6</v>
      </c>
      <c r="O71" s="21" t="n">
        <f aca="false">721.71+7.29-291.6</f>
        <v>437.4</v>
      </c>
      <c r="P71" s="21"/>
      <c r="Q71" s="21"/>
      <c r="R71" s="21"/>
      <c r="S71" s="21" t="n">
        <f aca="false">SUM(T71:X71)</f>
        <v>102060</v>
      </c>
      <c r="T71" s="21" t="n">
        <f aca="false">0+89812</f>
        <v>89812</v>
      </c>
      <c r="U71" s="21" t="n">
        <f aca="false">0+12248</f>
        <v>12248</v>
      </c>
      <c r="V71" s="21"/>
      <c r="W71" s="21"/>
      <c r="X71" s="21"/>
      <c r="Y71" s="21" t="n">
        <f aca="false">SUM(Z71:AC71)</f>
        <v>0</v>
      </c>
      <c r="Z71" s="21"/>
      <c r="AA71" s="21"/>
      <c r="AB71" s="21"/>
      <c r="AC71" s="21"/>
      <c r="AD71" s="21" t="n">
        <f aca="false">SUM(AE71:AH71)</f>
        <v>0</v>
      </c>
      <c r="AE71" s="21"/>
      <c r="AF71" s="21"/>
      <c r="AG71" s="21"/>
      <c r="AH71" s="21"/>
      <c r="AI71" s="22" t="s">
        <v>259</v>
      </c>
      <c r="AJ71" s="19" t="s">
        <v>25</v>
      </c>
      <c r="AK71" s="19" t="s">
        <v>23</v>
      </c>
      <c r="AL71" s="19" t="s">
        <v>267</v>
      </c>
      <c r="AM71" s="19" t="s">
        <v>317</v>
      </c>
      <c r="AN71" s="19" t="s">
        <v>269</v>
      </c>
      <c r="AO71" s="19" t="s">
        <v>269</v>
      </c>
      <c r="AP71" s="19" t="s">
        <v>261</v>
      </c>
      <c r="AQ71" s="19" t="s">
        <v>270</v>
      </c>
      <c r="AR71" s="35" t="s">
        <v>323</v>
      </c>
      <c r="AS71" s="19" t="s">
        <v>44</v>
      </c>
      <c r="AT71" s="19" t="s">
        <v>45</v>
      </c>
      <c r="AU71" s="19"/>
    </row>
    <row r="72" customFormat="false" ht="99.75" hidden="false" customHeight="true" outlineLevel="0" collapsed="false">
      <c r="A72" s="19" t="s">
        <v>326</v>
      </c>
      <c r="B72" s="19" t="s">
        <v>257</v>
      </c>
      <c r="C72" s="19" t="s">
        <v>265</v>
      </c>
      <c r="D72" s="19" t="s">
        <v>327</v>
      </c>
      <c r="E72" s="19" t="s">
        <v>310</v>
      </c>
      <c r="F72" s="21" t="n">
        <f aca="false">SUM(G72+M72+S72+Y72+AD72)</f>
        <v>46511.1</v>
      </c>
      <c r="G72" s="21" t="n">
        <f aca="false">SUM(H72:L72)</f>
        <v>46511.1</v>
      </c>
      <c r="H72" s="21" t="n">
        <f aca="false">0+46045.9</f>
        <v>46045.9</v>
      </c>
      <c r="I72" s="21" t="n">
        <f aca="false">44022.23-43557.03</f>
        <v>465.200000000004</v>
      </c>
      <c r="J72" s="21"/>
      <c r="K72" s="21"/>
      <c r="L72" s="21"/>
      <c r="M72" s="21" t="n">
        <f aca="false">SUM(N72:R72)</f>
        <v>0</v>
      </c>
      <c r="N72" s="21"/>
      <c r="O72" s="21"/>
      <c r="P72" s="21"/>
      <c r="Q72" s="21"/>
      <c r="R72" s="21"/>
      <c r="S72" s="21" t="n">
        <f aca="false">SUM(T72:X72)</f>
        <v>0</v>
      </c>
      <c r="T72" s="21"/>
      <c r="U72" s="21"/>
      <c r="V72" s="21"/>
      <c r="W72" s="21"/>
      <c r="X72" s="21"/>
      <c r="Y72" s="21" t="n">
        <f aca="false">SUM(Z72:AC72)</f>
        <v>0</v>
      </c>
      <c r="Z72" s="21"/>
      <c r="AA72" s="21"/>
      <c r="AB72" s="21"/>
      <c r="AC72" s="21"/>
      <c r="AD72" s="21" t="n">
        <f aca="false">SUM(AE72:AH72)</f>
        <v>0</v>
      </c>
      <c r="AE72" s="21"/>
      <c r="AF72" s="21"/>
      <c r="AG72" s="21"/>
      <c r="AH72" s="21"/>
      <c r="AI72" s="22" t="s">
        <v>259</v>
      </c>
      <c r="AJ72" s="19" t="s">
        <v>25</v>
      </c>
      <c r="AK72" s="19" t="s">
        <v>23</v>
      </c>
      <c r="AL72" s="19" t="s">
        <v>267</v>
      </c>
      <c r="AM72" s="26" t="s">
        <v>328</v>
      </c>
      <c r="AN72" s="19" t="s">
        <v>269</v>
      </c>
      <c r="AO72" s="19" t="s">
        <v>269</v>
      </c>
      <c r="AP72" s="19" t="s">
        <v>261</v>
      </c>
      <c r="AQ72" s="19" t="s">
        <v>270</v>
      </c>
      <c r="AR72" s="26" t="s">
        <v>329</v>
      </c>
      <c r="AS72" s="19" t="s">
        <v>44</v>
      </c>
      <c r="AT72" s="19" t="s">
        <v>291</v>
      </c>
      <c r="AU72" s="19"/>
    </row>
    <row r="73" customFormat="false" ht="99.75" hidden="false" customHeight="true" outlineLevel="0" collapsed="false">
      <c r="A73" s="19" t="s">
        <v>330</v>
      </c>
      <c r="B73" s="19" t="s">
        <v>257</v>
      </c>
      <c r="C73" s="19" t="s">
        <v>265</v>
      </c>
      <c r="D73" s="19" t="s">
        <v>331</v>
      </c>
      <c r="E73" s="26" t="s">
        <v>310</v>
      </c>
      <c r="F73" s="21" t="n">
        <f aca="false">SUM(G73+M73+S73+Y73+AD73)</f>
        <v>14801.2</v>
      </c>
      <c r="G73" s="21" t="n">
        <f aca="false">SUM(H73:L73)</f>
        <v>14801.2</v>
      </c>
      <c r="H73" s="21"/>
      <c r="I73" s="21" t="n">
        <f aca="false">0+14801.2</f>
        <v>14801.2</v>
      </c>
      <c r="J73" s="21"/>
      <c r="K73" s="21"/>
      <c r="L73" s="21"/>
      <c r="M73" s="21" t="n">
        <f aca="false">SUM(N73:R73)</f>
        <v>0</v>
      </c>
      <c r="N73" s="21"/>
      <c r="O73" s="21"/>
      <c r="P73" s="21"/>
      <c r="Q73" s="21"/>
      <c r="R73" s="21"/>
      <c r="S73" s="21" t="n">
        <f aca="false">SUM(T73:X73)</f>
        <v>0</v>
      </c>
      <c r="T73" s="21"/>
      <c r="U73" s="21"/>
      <c r="V73" s="21"/>
      <c r="W73" s="21"/>
      <c r="X73" s="21"/>
      <c r="Y73" s="21" t="n">
        <f aca="false">SUM(Z73:AC73)</f>
        <v>0</v>
      </c>
      <c r="Z73" s="21"/>
      <c r="AA73" s="21"/>
      <c r="AB73" s="21"/>
      <c r="AC73" s="21"/>
      <c r="AD73" s="21" t="n">
        <f aca="false">SUM(AE73:AH73)</f>
        <v>0</v>
      </c>
      <c r="AE73" s="21"/>
      <c r="AF73" s="21"/>
      <c r="AG73" s="21"/>
      <c r="AH73" s="21"/>
      <c r="AI73" s="22" t="s">
        <v>259</v>
      </c>
      <c r="AJ73" s="26" t="s">
        <v>24</v>
      </c>
      <c r="AK73" s="26" t="s">
        <v>23</v>
      </c>
      <c r="AL73" s="26" t="s">
        <v>267</v>
      </c>
      <c r="AM73" s="26" t="s">
        <v>332</v>
      </c>
      <c r="AN73" s="26" t="s">
        <v>269</v>
      </c>
      <c r="AO73" s="26" t="s">
        <v>269</v>
      </c>
      <c r="AP73" s="26" t="s">
        <v>261</v>
      </c>
      <c r="AQ73" s="26" t="s">
        <v>270</v>
      </c>
      <c r="AR73" s="26" t="s">
        <v>333</v>
      </c>
      <c r="AS73" s="19" t="s">
        <v>44</v>
      </c>
      <c r="AT73" s="19" t="s">
        <v>71</v>
      </c>
      <c r="AU73" s="26"/>
    </row>
    <row r="74" customFormat="false" ht="99.75" hidden="false" customHeight="true" outlineLevel="0" collapsed="false">
      <c r="A74" s="19" t="s">
        <v>334</v>
      </c>
      <c r="B74" s="19" t="s">
        <v>257</v>
      </c>
      <c r="C74" s="19" t="s">
        <v>265</v>
      </c>
      <c r="D74" s="19" t="s">
        <v>335</v>
      </c>
      <c r="E74" s="26" t="s">
        <v>310</v>
      </c>
      <c r="F74" s="21" t="n">
        <f aca="false">SUM(G74+M74+S74+Y74+AD74)</f>
        <v>812772.62495</v>
      </c>
      <c r="G74" s="21" t="n">
        <f aca="false">SUM(H74:L74)</f>
        <v>395179.28624</v>
      </c>
      <c r="H74" s="21" t="n">
        <f aca="false">0+371250+14606.4</f>
        <v>385856.4</v>
      </c>
      <c r="I74" s="21" t="n">
        <f aca="false">3712.5+37.5+147.53939+5425.34685</f>
        <v>9322.88624</v>
      </c>
      <c r="J74" s="21"/>
      <c r="K74" s="21"/>
      <c r="L74" s="21"/>
      <c r="M74" s="21" t="n">
        <f aca="false">SUM(N74:R74)</f>
        <v>417593.33871</v>
      </c>
      <c r="N74" s="21" t="n">
        <f aca="false">0+371250-29268.3</f>
        <v>341981.7</v>
      </c>
      <c r="O74" s="21" t="n">
        <f aca="false">3712.5+37.5+48305.03411+14514.35983+9042.24477</f>
        <v>75611.63871</v>
      </c>
      <c r="P74" s="21"/>
      <c r="Q74" s="21"/>
      <c r="R74" s="21"/>
      <c r="S74" s="21" t="n">
        <f aca="false">SUM(T74:X74)</f>
        <v>0</v>
      </c>
      <c r="T74" s="21"/>
      <c r="U74" s="21"/>
      <c r="V74" s="21"/>
      <c r="W74" s="21"/>
      <c r="X74" s="21"/>
      <c r="Y74" s="21" t="n">
        <f aca="false">SUM(Z74:AC74)</f>
        <v>0</v>
      </c>
      <c r="Z74" s="21"/>
      <c r="AA74" s="21"/>
      <c r="AB74" s="21"/>
      <c r="AC74" s="21"/>
      <c r="AD74" s="21" t="n">
        <f aca="false">SUM(AE74:AH74)</f>
        <v>0</v>
      </c>
      <c r="AE74" s="21"/>
      <c r="AF74" s="21"/>
      <c r="AG74" s="21"/>
      <c r="AH74" s="21"/>
      <c r="AI74" s="22" t="s">
        <v>259</v>
      </c>
      <c r="AJ74" s="26" t="s">
        <v>24</v>
      </c>
      <c r="AK74" s="26" t="s">
        <v>23</v>
      </c>
      <c r="AL74" s="26" t="s">
        <v>267</v>
      </c>
      <c r="AM74" s="26" t="s">
        <v>336</v>
      </c>
      <c r="AN74" s="26" t="s">
        <v>269</v>
      </c>
      <c r="AO74" s="26" t="s">
        <v>269</v>
      </c>
      <c r="AP74" s="26" t="s">
        <v>261</v>
      </c>
      <c r="AQ74" s="26" t="s">
        <v>270</v>
      </c>
      <c r="AR74" s="26" t="s">
        <v>337</v>
      </c>
      <c r="AS74" s="19" t="s">
        <v>44</v>
      </c>
      <c r="AT74" s="26" t="s">
        <v>45</v>
      </c>
      <c r="AU74" s="26" t="s">
        <v>338</v>
      </c>
    </row>
    <row r="75" customFormat="false" ht="99.75" hidden="false" customHeight="true" outlineLevel="0" collapsed="false">
      <c r="A75" s="19" t="s">
        <v>339</v>
      </c>
      <c r="B75" s="19" t="s">
        <v>257</v>
      </c>
      <c r="C75" s="19" t="s">
        <v>265</v>
      </c>
      <c r="D75" s="19" t="s">
        <v>340</v>
      </c>
      <c r="E75" s="19" t="s">
        <v>208</v>
      </c>
      <c r="F75" s="21" t="n">
        <f aca="false">SUM(G75+M75+S75+Y75+AD75)</f>
        <v>35189.14011</v>
      </c>
      <c r="G75" s="21" t="n">
        <f aca="false">SUM(H75:L75)</f>
        <v>35189.14011</v>
      </c>
      <c r="H75" s="21"/>
      <c r="I75" s="21" t="n">
        <f aca="false">22224.45+12260.90731</f>
        <v>34485.35731</v>
      </c>
      <c r="J75" s="21" t="n">
        <f aca="false">453.5602+250.2226</f>
        <v>703.7828</v>
      </c>
      <c r="K75" s="21"/>
      <c r="L75" s="21"/>
      <c r="M75" s="21" t="n">
        <f aca="false">SUM(N75:R75)</f>
        <v>0</v>
      </c>
      <c r="N75" s="21"/>
      <c r="O75" s="21"/>
      <c r="P75" s="21"/>
      <c r="Q75" s="21"/>
      <c r="R75" s="21"/>
      <c r="S75" s="21" t="n">
        <f aca="false">SUM(T75:X75)</f>
        <v>0</v>
      </c>
      <c r="T75" s="21"/>
      <c r="U75" s="21"/>
      <c r="V75" s="21"/>
      <c r="W75" s="21"/>
      <c r="X75" s="21"/>
      <c r="Y75" s="21" t="n">
        <f aca="false">SUM(Z75:AC75)</f>
        <v>0</v>
      </c>
      <c r="Z75" s="21"/>
      <c r="AA75" s="21"/>
      <c r="AB75" s="21"/>
      <c r="AC75" s="21"/>
      <c r="AD75" s="21" t="n">
        <f aca="false">SUM(AE75:AH75)</f>
        <v>0</v>
      </c>
      <c r="AE75" s="21"/>
      <c r="AF75" s="21"/>
      <c r="AG75" s="21"/>
      <c r="AH75" s="21"/>
      <c r="AI75" s="22" t="s">
        <v>259</v>
      </c>
      <c r="AJ75" s="19" t="s">
        <v>23</v>
      </c>
      <c r="AK75" s="19"/>
      <c r="AL75" s="19" t="s">
        <v>152</v>
      </c>
      <c r="AM75" s="19" t="s">
        <v>341</v>
      </c>
      <c r="AN75" s="19" t="s">
        <v>209</v>
      </c>
      <c r="AO75" s="19" t="s">
        <v>269</v>
      </c>
      <c r="AP75" s="19" t="s">
        <v>210</v>
      </c>
      <c r="AQ75" s="19" t="s">
        <v>210</v>
      </c>
      <c r="AR75" s="19" t="s">
        <v>342</v>
      </c>
      <c r="AS75" s="19" t="s">
        <v>157</v>
      </c>
      <c r="AT75" s="19" t="s">
        <v>96</v>
      </c>
      <c r="AU75" s="19" t="s">
        <v>343</v>
      </c>
    </row>
    <row r="76" customFormat="false" ht="99.75" hidden="false" customHeight="true" outlineLevel="0" collapsed="false">
      <c r="A76" s="19" t="s">
        <v>344</v>
      </c>
      <c r="B76" s="19" t="s">
        <v>257</v>
      </c>
      <c r="C76" s="19" t="s">
        <v>265</v>
      </c>
      <c r="D76" s="19" t="s">
        <v>345</v>
      </c>
      <c r="E76" s="19" t="s">
        <v>122</v>
      </c>
      <c r="F76" s="21" t="n">
        <f aca="false">SUM(G76+M76+S76+Y76+AD76)</f>
        <v>19795.5815</v>
      </c>
      <c r="G76" s="21" t="n">
        <f aca="false">SUM(H76:L76)</f>
        <v>19795.5815</v>
      </c>
      <c r="H76" s="21"/>
      <c r="I76" s="21" t="n">
        <v>19795.5815</v>
      </c>
      <c r="J76" s="21"/>
      <c r="K76" s="21"/>
      <c r="L76" s="21"/>
      <c r="M76" s="21" t="n">
        <f aca="false">SUM(N76:R76)</f>
        <v>0</v>
      </c>
      <c r="N76" s="21"/>
      <c r="O76" s="21"/>
      <c r="P76" s="21"/>
      <c r="Q76" s="21"/>
      <c r="R76" s="21"/>
      <c r="S76" s="21" t="n">
        <f aca="false">SUM(T76:X76)</f>
        <v>0</v>
      </c>
      <c r="T76" s="21"/>
      <c r="U76" s="21"/>
      <c r="V76" s="21"/>
      <c r="W76" s="21"/>
      <c r="X76" s="21"/>
      <c r="Y76" s="21" t="n">
        <f aca="false">SUM(Z76:AC76)</f>
        <v>0</v>
      </c>
      <c r="Z76" s="21"/>
      <c r="AA76" s="21"/>
      <c r="AB76" s="21"/>
      <c r="AC76" s="21"/>
      <c r="AD76" s="21" t="n">
        <f aca="false">SUM(AE76:AH76)</f>
        <v>0</v>
      </c>
      <c r="AE76" s="21"/>
      <c r="AF76" s="21"/>
      <c r="AG76" s="21"/>
      <c r="AH76" s="21"/>
      <c r="AI76" s="22" t="s">
        <v>259</v>
      </c>
      <c r="AJ76" s="26"/>
      <c r="AK76" s="26" t="s">
        <v>23</v>
      </c>
      <c r="AL76" s="26" t="s">
        <v>267</v>
      </c>
      <c r="AM76" s="26" t="s">
        <v>346</v>
      </c>
      <c r="AN76" s="26" t="s">
        <v>269</v>
      </c>
      <c r="AO76" s="26" t="s">
        <v>269</v>
      </c>
      <c r="AP76" s="26" t="s">
        <v>269</v>
      </c>
      <c r="AQ76" s="26" t="s">
        <v>270</v>
      </c>
      <c r="AR76" s="26" t="s">
        <v>347</v>
      </c>
      <c r="AS76" s="19" t="s">
        <v>44</v>
      </c>
      <c r="AT76" s="19" t="s">
        <v>348</v>
      </c>
      <c r="AU76" s="26"/>
    </row>
    <row r="77" customFormat="false" ht="99.75" hidden="false" customHeight="true" outlineLevel="0" collapsed="false">
      <c r="A77" s="19" t="s">
        <v>349</v>
      </c>
      <c r="B77" s="19" t="s">
        <v>257</v>
      </c>
      <c r="C77" s="19" t="s">
        <v>265</v>
      </c>
      <c r="D77" s="19" t="s">
        <v>350</v>
      </c>
      <c r="E77" s="19" t="s">
        <v>122</v>
      </c>
      <c r="F77" s="21" t="n">
        <f aca="false">SUM(G77+M77+S77+Y77+AD77)</f>
        <v>1096137</v>
      </c>
      <c r="G77" s="21" t="n">
        <f aca="false">SUM(H77:L77)</f>
        <v>1096137</v>
      </c>
      <c r="H77" s="21" t="n">
        <f aca="false">0+630071.1+343902.8</f>
        <v>973973.9</v>
      </c>
      <c r="I77" s="21" t="n">
        <f aca="false">6364+0.35+347376.57-231577.82</f>
        <v>122163.1</v>
      </c>
      <c r="J77" s="21"/>
      <c r="K77" s="21"/>
      <c r="L77" s="21"/>
      <c r="M77" s="21" t="n">
        <f aca="false">SUM(N77:R77)</f>
        <v>0</v>
      </c>
      <c r="N77" s="21"/>
      <c r="O77" s="21"/>
      <c r="P77" s="21"/>
      <c r="Q77" s="21"/>
      <c r="R77" s="21"/>
      <c r="S77" s="21" t="n">
        <f aca="false">SUM(T77:X77)</f>
        <v>0</v>
      </c>
      <c r="T77" s="21"/>
      <c r="U77" s="21"/>
      <c r="V77" s="21"/>
      <c r="W77" s="21"/>
      <c r="X77" s="21"/>
      <c r="Y77" s="21" t="n">
        <f aca="false">SUM(Z77:AC77)</f>
        <v>0</v>
      </c>
      <c r="Z77" s="21"/>
      <c r="AA77" s="21"/>
      <c r="AB77" s="21"/>
      <c r="AC77" s="21"/>
      <c r="AD77" s="21" t="n">
        <f aca="false">SUM(AE77:AH77)</f>
        <v>0</v>
      </c>
      <c r="AE77" s="21"/>
      <c r="AF77" s="21"/>
      <c r="AG77" s="21"/>
      <c r="AH77" s="21"/>
      <c r="AI77" s="22" t="s">
        <v>351</v>
      </c>
      <c r="AJ77" s="19" t="s">
        <v>24</v>
      </c>
      <c r="AK77" s="19" t="s">
        <v>61</v>
      </c>
      <c r="AL77" s="19" t="s">
        <v>352</v>
      </c>
      <c r="AM77" s="19" t="s">
        <v>353</v>
      </c>
      <c r="AN77" s="19" t="s">
        <v>269</v>
      </c>
      <c r="AO77" s="19" t="s">
        <v>269</v>
      </c>
      <c r="AP77" s="19" t="s">
        <v>354</v>
      </c>
      <c r="AQ77" s="19" t="s">
        <v>354</v>
      </c>
      <c r="AR77" s="26" t="s">
        <v>355</v>
      </c>
      <c r="AS77" s="26" t="s">
        <v>356</v>
      </c>
      <c r="AT77" s="19" t="s">
        <v>313</v>
      </c>
      <c r="AU77" s="19" t="s">
        <v>357</v>
      </c>
    </row>
    <row r="78" customFormat="false" ht="99.75" hidden="false" customHeight="true" outlineLevel="0" collapsed="false">
      <c r="A78" s="19" t="s">
        <v>358</v>
      </c>
      <c r="B78" s="19" t="s">
        <v>257</v>
      </c>
      <c r="C78" s="19" t="s">
        <v>265</v>
      </c>
      <c r="D78" s="19" t="s">
        <v>359</v>
      </c>
      <c r="E78" s="19" t="s">
        <v>139</v>
      </c>
      <c r="F78" s="21" t="n">
        <f aca="false">SUM(G78+M78+S78+Y78+AD78)</f>
        <v>6312.44638</v>
      </c>
      <c r="G78" s="21" t="n">
        <f aca="false">SUM(H78:L78)</f>
        <v>0</v>
      </c>
      <c r="H78" s="21"/>
      <c r="I78" s="21"/>
      <c r="J78" s="30"/>
      <c r="K78" s="21"/>
      <c r="L78" s="21"/>
      <c r="M78" s="21" t="n">
        <f aca="false">SUM(N78:R78)</f>
        <v>6312.44638</v>
      </c>
      <c r="N78" s="21"/>
      <c r="O78" s="21" t="n">
        <v>6186.19745</v>
      </c>
      <c r="P78" s="21" t="n">
        <v>126.24893</v>
      </c>
      <c r="Q78" s="21"/>
      <c r="R78" s="21"/>
      <c r="S78" s="21" t="n">
        <f aca="false">SUM(T78:X78)</f>
        <v>0</v>
      </c>
      <c r="T78" s="21"/>
      <c r="U78" s="21"/>
      <c r="V78" s="21"/>
      <c r="W78" s="21"/>
      <c r="X78" s="21"/>
      <c r="Y78" s="21" t="n">
        <f aca="false">SUM(Z78:AC78)</f>
        <v>0</v>
      </c>
      <c r="Z78" s="21"/>
      <c r="AA78" s="21"/>
      <c r="AB78" s="21"/>
      <c r="AC78" s="21"/>
      <c r="AD78" s="21" t="n">
        <f aca="false">SUM(AE78:AH78)</f>
        <v>0</v>
      </c>
      <c r="AE78" s="21"/>
      <c r="AF78" s="21"/>
      <c r="AG78" s="21"/>
      <c r="AH78" s="21"/>
      <c r="AI78" s="22" t="s">
        <v>351</v>
      </c>
      <c r="AJ78" s="19"/>
      <c r="AK78" s="19" t="s">
        <v>24</v>
      </c>
      <c r="AL78" s="19" t="s">
        <v>152</v>
      </c>
      <c r="AM78" s="19"/>
      <c r="AN78" s="19" t="s">
        <v>360</v>
      </c>
      <c r="AO78" s="19" t="s">
        <v>269</v>
      </c>
      <c r="AP78" s="19" t="s">
        <v>361</v>
      </c>
      <c r="AQ78" s="19" t="s">
        <v>361</v>
      </c>
      <c r="AR78" s="19"/>
      <c r="AS78" s="19" t="s">
        <v>157</v>
      </c>
      <c r="AT78" s="19" t="s">
        <v>348</v>
      </c>
      <c r="AU78" s="19"/>
    </row>
    <row r="79" customFormat="false" ht="99.75" hidden="false" customHeight="true" outlineLevel="0" collapsed="false">
      <c r="A79" s="19" t="s">
        <v>362</v>
      </c>
      <c r="B79" s="19" t="s">
        <v>257</v>
      </c>
      <c r="C79" s="19" t="s">
        <v>265</v>
      </c>
      <c r="D79" s="19" t="s">
        <v>363</v>
      </c>
      <c r="E79" s="26" t="s">
        <v>310</v>
      </c>
      <c r="F79" s="21" t="n">
        <f aca="false">SUM(G79+M79+S79+Y79+AD79)</f>
        <v>257050.80183</v>
      </c>
      <c r="G79" s="21" t="n">
        <f aca="false">SUM(H79:L79)</f>
        <v>94465.85762</v>
      </c>
      <c r="H79" s="21" t="n">
        <f aca="false">0+73622.32471</f>
        <v>73622.32471</v>
      </c>
      <c r="I79" s="21" t="n">
        <f aca="false">150000-130000-3720.188</f>
        <v>16279.812</v>
      </c>
      <c r="J79" s="21" t="n">
        <f aca="false">0+4563.72091</f>
        <v>4563.72091</v>
      </c>
      <c r="K79" s="21"/>
      <c r="L79" s="21"/>
      <c r="M79" s="21" t="n">
        <f aca="false">SUM(N79:R79)</f>
        <v>162584.94421</v>
      </c>
      <c r="N79" s="21" t="n">
        <f aca="false">0+159333.24533</f>
        <v>159333.24533</v>
      </c>
      <c r="O79" s="21"/>
      <c r="P79" s="21" t="n">
        <f aca="false">0+3251.69888</f>
        <v>3251.69888</v>
      </c>
      <c r="Q79" s="21"/>
      <c r="R79" s="21"/>
      <c r="S79" s="21" t="n">
        <f aca="false">SUM(T79:X79)</f>
        <v>0</v>
      </c>
      <c r="T79" s="21"/>
      <c r="U79" s="21"/>
      <c r="V79" s="21"/>
      <c r="W79" s="21"/>
      <c r="X79" s="21"/>
      <c r="Y79" s="21" t="n">
        <f aca="false">SUM(Z79:AC79)</f>
        <v>0</v>
      </c>
      <c r="Z79" s="21"/>
      <c r="AA79" s="21"/>
      <c r="AB79" s="21"/>
      <c r="AC79" s="21"/>
      <c r="AD79" s="21" t="n">
        <f aca="false">SUM(AE79:AH79)</f>
        <v>0</v>
      </c>
      <c r="AE79" s="21"/>
      <c r="AF79" s="21"/>
      <c r="AG79" s="21"/>
      <c r="AH79" s="21"/>
      <c r="AI79" s="22" t="s">
        <v>351</v>
      </c>
      <c r="AJ79" s="26" t="s">
        <v>23</v>
      </c>
      <c r="AK79" s="26" t="s">
        <v>61</v>
      </c>
      <c r="AL79" s="26" t="s">
        <v>364</v>
      </c>
      <c r="AM79" s="26" t="s">
        <v>365</v>
      </c>
      <c r="AN79" s="26" t="s">
        <v>197</v>
      </c>
      <c r="AO79" s="26" t="s">
        <v>269</v>
      </c>
      <c r="AP79" s="26" t="s">
        <v>198</v>
      </c>
      <c r="AQ79" s="26" t="s">
        <v>198</v>
      </c>
      <c r="AR79" s="26" t="s">
        <v>366</v>
      </c>
      <c r="AS79" s="26" t="s">
        <v>157</v>
      </c>
      <c r="AT79" s="26" t="s">
        <v>96</v>
      </c>
      <c r="AU79" s="26" t="s">
        <v>367</v>
      </c>
    </row>
    <row r="80" customFormat="false" ht="99.75" hidden="false" customHeight="true" outlineLevel="0" collapsed="false">
      <c r="A80" s="19" t="s">
        <v>368</v>
      </c>
      <c r="B80" s="19" t="s">
        <v>257</v>
      </c>
      <c r="C80" s="19" t="s">
        <v>265</v>
      </c>
      <c r="D80" s="19" t="s">
        <v>369</v>
      </c>
      <c r="E80" s="26" t="s">
        <v>122</v>
      </c>
      <c r="F80" s="21" t="n">
        <f aca="false">SUM(G80+M80+S80+Y80+AD80)</f>
        <v>17113359.21</v>
      </c>
      <c r="G80" s="21" t="n">
        <f aca="false">SUM(H80:L80)</f>
        <v>4247075.27</v>
      </c>
      <c r="H80" s="21" t="n">
        <f aca="false">0+4000000</f>
        <v>4000000</v>
      </c>
      <c r="I80" s="21" t="n">
        <f aca="false">40000+261075.27-600-33400-20000</f>
        <v>247075.27</v>
      </c>
      <c r="J80" s="21"/>
      <c r="K80" s="21"/>
      <c r="L80" s="21"/>
      <c r="M80" s="21" t="n">
        <f aca="false">SUM(N80:R80)</f>
        <v>9210553.51</v>
      </c>
      <c r="N80" s="21" t="n">
        <f aca="false">0+4000000</f>
        <v>4000000</v>
      </c>
      <c r="O80" s="21" t="n">
        <f aca="false">40000+261075.27+4909478.24</f>
        <v>5210553.51</v>
      </c>
      <c r="P80" s="21"/>
      <c r="Q80" s="21"/>
      <c r="R80" s="21"/>
      <c r="S80" s="21" t="n">
        <f aca="false">SUM(T80:X80)</f>
        <v>3655730.43</v>
      </c>
      <c r="T80" s="21"/>
      <c r="U80" s="21" t="n">
        <f aca="false">0+3655730.43</f>
        <v>3655730.43</v>
      </c>
      <c r="V80" s="21"/>
      <c r="W80" s="21"/>
      <c r="X80" s="21"/>
      <c r="Y80" s="21" t="n">
        <f aca="false">SUM(Z80:AC80)</f>
        <v>0</v>
      </c>
      <c r="Z80" s="21"/>
      <c r="AA80" s="21"/>
      <c r="AB80" s="21"/>
      <c r="AC80" s="21"/>
      <c r="AD80" s="21" t="n">
        <f aca="false">SUM(AE80:AH80)</f>
        <v>0</v>
      </c>
      <c r="AE80" s="21"/>
      <c r="AF80" s="21"/>
      <c r="AG80" s="21"/>
      <c r="AH80" s="21"/>
      <c r="AI80" s="22" t="s">
        <v>370</v>
      </c>
      <c r="AJ80" s="26" t="s">
        <v>24</v>
      </c>
      <c r="AK80" s="26" t="s">
        <v>61</v>
      </c>
      <c r="AL80" s="26" t="s">
        <v>40</v>
      </c>
      <c r="AM80" s="26" t="s">
        <v>371</v>
      </c>
      <c r="AN80" s="26" t="s">
        <v>269</v>
      </c>
      <c r="AO80" s="26" t="s">
        <v>269</v>
      </c>
      <c r="AP80" s="26" t="s">
        <v>269</v>
      </c>
      <c r="AQ80" s="26" t="s">
        <v>269</v>
      </c>
      <c r="AR80" s="26" t="s">
        <v>372</v>
      </c>
      <c r="AS80" s="19" t="s">
        <v>44</v>
      </c>
      <c r="AT80" s="26" t="s">
        <v>45</v>
      </c>
      <c r="AU80" s="26" t="s">
        <v>373</v>
      </c>
    </row>
    <row r="81" customFormat="false" ht="99.75" hidden="false" customHeight="true" outlineLevel="0" collapsed="false">
      <c r="A81" s="19" t="s">
        <v>374</v>
      </c>
      <c r="B81" s="19" t="s">
        <v>257</v>
      </c>
      <c r="C81" s="19" t="s">
        <v>241</v>
      </c>
      <c r="D81" s="19" t="s">
        <v>375</v>
      </c>
      <c r="E81" s="19" t="s">
        <v>122</v>
      </c>
      <c r="F81" s="21" t="n">
        <f aca="false">SUM(G81+M81+S81+Y81+AD81)</f>
        <v>178816</v>
      </c>
      <c r="G81" s="21" t="n">
        <f aca="false">SUM(H81:L81)</f>
        <v>178816</v>
      </c>
      <c r="H81" s="21"/>
      <c r="I81" s="21" t="n">
        <f aca="false">0+143919-250-2520+17667+20000</f>
        <v>178816</v>
      </c>
      <c r="J81" s="21"/>
      <c r="K81" s="21"/>
      <c r="L81" s="21"/>
      <c r="M81" s="21" t="n">
        <f aca="false">SUM(N81:R81)</f>
        <v>0</v>
      </c>
      <c r="N81" s="21"/>
      <c r="O81" s="21"/>
      <c r="P81" s="21"/>
      <c r="Q81" s="21"/>
      <c r="R81" s="21"/>
      <c r="S81" s="21" t="n">
        <f aca="false">SUM(T81:X81)</f>
        <v>0</v>
      </c>
      <c r="T81" s="21"/>
      <c r="U81" s="21"/>
      <c r="V81" s="21"/>
      <c r="W81" s="21"/>
      <c r="X81" s="21"/>
      <c r="Y81" s="21" t="n">
        <f aca="false">SUM(Z81:AC81)</f>
        <v>0</v>
      </c>
      <c r="Z81" s="21"/>
      <c r="AA81" s="21"/>
      <c r="AB81" s="21"/>
      <c r="AC81" s="21"/>
      <c r="AD81" s="21" t="n">
        <f aca="false">SUM(AE81:AH81)</f>
        <v>0</v>
      </c>
      <c r="AE81" s="21"/>
      <c r="AF81" s="21"/>
      <c r="AG81" s="21"/>
      <c r="AH81" s="21"/>
      <c r="AI81" s="19" t="s">
        <v>370</v>
      </c>
      <c r="AJ81" s="19" t="s">
        <v>23</v>
      </c>
      <c r="AK81" s="19" t="s">
        <v>376</v>
      </c>
      <c r="AL81" s="19" t="s">
        <v>377</v>
      </c>
      <c r="AM81" s="26"/>
      <c r="AN81" s="19" t="s">
        <v>241</v>
      </c>
      <c r="AO81" s="19" t="s">
        <v>269</v>
      </c>
      <c r="AP81" s="19" t="s">
        <v>241</v>
      </c>
      <c r="AQ81" s="19" t="s">
        <v>241</v>
      </c>
      <c r="AR81" s="26"/>
      <c r="AS81" s="19" t="s">
        <v>44</v>
      </c>
      <c r="AT81" s="19" t="s">
        <v>79</v>
      </c>
      <c r="AU81" s="19"/>
    </row>
    <row r="82" customFormat="false" ht="99.75" hidden="false" customHeight="true" outlineLevel="0" collapsed="false">
      <c r="A82" s="19" t="s">
        <v>378</v>
      </c>
      <c r="B82" s="19" t="s">
        <v>257</v>
      </c>
      <c r="C82" s="19" t="s">
        <v>265</v>
      </c>
      <c r="D82" s="19" t="s">
        <v>379</v>
      </c>
      <c r="E82" s="26" t="s">
        <v>66</v>
      </c>
      <c r="F82" s="21" t="n">
        <f aca="false">SUM(G82+M82+S82+Y82+AD82)</f>
        <v>25311.36453</v>
      </c>
      <c r="G82" s="21" t="n">
        <f aca="false">SUM(H82:L82)</f>
        <v>25311.36453</v>
      </c>
      <c r="H82" s="21"/>
      <c r="I82" s="21" t="n">
        <f aca="false">28500+7456.07146-5336.499-53.48758-5316.08222</f>
        <v>25250.00266</v>
      </c>
      <c r="J82" s="21" t="n">
        <f aca="false">0+72.05626-10.69439</f>
        <v>61.36187</v>
      </c>
      <c r="K82" s="21"/>
      <c r="L82" s="21"/>
      <c r="M82" s="21" t="n">
        <f aca="false">SUM(N82:R82)</f>
        <v>0</v>
      </c>
      <c r="N82" s="21"/>
      <c r="O82" s="21"/>
      <c r="P82" s="21"/>
      <c r="Q82" s="21"/>
      <c r="R82" s="21"/>
      <c r="S82" s="21" t="n">
        <f aca="false">SUM(T82:X82)</f>
        <v>0</v>
      </c>
      <c r="T82" s="21"/>
      <c r="U82" s="21"/>
      <c r="V82" s="21"/>
      <c r="W82" s="21"/>
      <c r="X82" s="21"/>
      <c r="Y82" s="21" t="n">
        <f aca="false">SUM(Z82:AC82)</f>
        <v>0</v>
      </c>
      <c r="Z82" s="21"/>
      <c r="AA82" s="21"/>
      <c r="AB82" s="21"/>
      <c r="AC82" s="21"/>
      <c r="AD82" s="21" t="n">
        <f aca="false">SUM(AE82:AH82)</f>
        <v>0</v>
      </c>
      <c r="AE82" s="21"/>
      <c r="AF82" s="21"/>
      <c r="AG82" s="21"/>
      <c r="AH82" s="21"/>
      <c r="AI82" s="26" t="s">
        <v>380</v>
      </c>
      <c r="AJ82" s="26" t="s">
        <v>23</v>
      </c>
      <c r="AK82" s="26" t="s">
        <v>61</v>
      </c>
      <c r="AL82" s="26" t="s">
        <v>364</v>
      </c>
      <c r="AM82" s="26" t="s">
        <v>381</v>
      </c>
      <c r="AN82" s="19" t="s">
        <v>382</v>
      </c>
      <c r="AO82" s="26" t="s">
        <v>261</v>
      </c>
      <c r="AP82" s="19" t="s">
        <v>226</v>
      </c>
      <c r="AQ82" s="19" t="s">
        <v>226</v>
      </c>
      <c r="AR82" s="26" t="s">
        <v>383</v>
      </c>
      <c r="AS82" s="26" t="s">
        <v>157</v>
      </c>
      <c r="AT82" s="26" t="s">
        <v>96</v>
      </c>
      <c r="AU82" s="26"/>
    </row>
    <row r="83" customFormat="false" ht="99.75" hidden="false" customHeight="true" outlineLevel="0" collapsed="false">
      <c r="A83" s="19" t="s">
        <v>384</v>
      </c>
      <c r="B83" s="19" t="s">
        <v>257</v>
      </c>
      <c r="C83" s="19" t="s">
        <v>36</v>
      </c>
      <c r="D83" s="19" t="s">
        <v>385</v>
      </c>
      <c r="E83" s="26" t="s">
        <v>66</v>
      </c>
      <c r="F83" s="21" t="n">
        <f aca="false">SUM(G83+M83+S83+Y83+AD83)</f>
        <v>237653.54343</v>
      </c>
      <c r="G83" s="21" t="n">
        <f aca="false">SUM(H83:L83)</f>
        <v>207653.54343</v>
      </c>
      <c r="H83" s="21" t="n">
        <f aca="false">0+138119.2</f>
        <v>138119.2</v>
      </c>
      <c r="I83" s="21" t="n">
        <f aca="false">0+102159.35-90000+38000-30000+49374.99343</f>
        <v>69534.34343</v>
      </c>
      <c r="J83" s="21"/>
      <c r="K83" s="21"/>
      <c r="L83" s="21"/>
      <c r="M83" s="21" t="n">
        <f aca="false">SUM(N83:R83)</f>
        <v>30000</v>
      </c>
      <c r="N83" s="21"/>
      <c r="O83" s="21" t="n">
        <f aca="false">0+30000</f>
        <v>30000</v>
      </c>
      <c r="P83" s="21"/>
      <c r="Q83" s="21"/>
      <c r="R83" s="21"/>
      <c r="S83" s="21" t="n">
        <f aca="false">SUM(T83:X83)</f>
        <v>0</v>
      </c>
      <c r="T83" s="21"/>
      <c r="U83" s="21"/>
      <c r="V83" s="21"/>
      <c r="W83" s="21"/>
      <c r="X83" s="21"/>
      <c r="Y83" s="21" t="n">
        <f aca="false">SUM(Z83:AC83)</f>
        <v>0</v>
      </c>
      <c r="Z83" s="21"/>
      <c r="AA83" s="21"/>
      <c r="AB83" s="21"/>
      <c r="AC83" s="21"/>
      <c r="AD83" s="21" t="n">
        <f aca="false">SUM(AE83:AH83)</f>
        <v>0</v>
      </c>
      <c r="AE83" s="21"/>
      <c r="AF83" s="21"/>
      <c r="AG83" s="21"/>
      <c r="AH83" s="21"/>
      <c r="AI83" s="26" t="s">
        <v>380</v>
      </c>
      <c r="AJ83" s="26" t="s">
        <v>23</v>
      </c>
      <c r="AK83" s="26"/>
      <c r="AL83" s="26" t="s">
        <v>40</v>
      </c>
      <c r="AM83" s="26" t="s">
        <v>386</v>
      </c>
      <c r="AN83" s="26" t="s">
        <v>57</v>
      </c>
      <c r="AO83" s="26" t="s">
        <v>265</v>
      </c>
      <c r="AP83" s="26" t="s">
        <v>36</v>
      </c>
      <c r="AQ83" s="26" t="s">
        <v>57</v>
      </c>
      <c r="AR83" s="26" t="s">
        <v>387</v>
      </c>
      <c r="AS83" s="19" t="s">
        <v>44</v>
      </c>
      <c r="AT83" s="26" t="s">
        <v>96</v>
      </c>
      <c r="AU83" s="26" t="s">
        <v>388</v>
      </c>
    </row>
    <row r="84" customFormat="false" ht="99.75" hidden="false" customHeight="true" outlineLevel="0" collapsed="false">
      <c r="A84" s="19" t="s">
        <v>389</v>
      </c>
      <c r="B84" s="19" t="s">
        <v>257</v>
      </c>
      <c r="C84" s="19" t="s">
        <v>265</v>
      </c>
      <c r="D84" s="19" t="s">
        <v>390</v>
      </c>
      <c r="E84" s="19" t="s">
        <v>310</v>
      </c>
      <c r="F84" s="21" t="n">
        <f aca="false">SUM(G84+M84+S84+Y84+AD84)</f>
        <v>3093.39999999997</v>
      </c>
      <c r="G84" s="21" t="n">
        <f aca="false">SUM(H84:L84)</f>
        <v>3093.39999999997</v>
      </c>
      <c r="H84" s="21"/>
      <c r="I84" s="21" t="n">
        <f aca="false">0+309333.3-306239.9</f>
        <v>3093.39999999997</v>
      </c>
      <c r="J84" s="21"/>
      <c r="K84" s="21"/>
      <c r="L84" s="21"/>
      <c r="M84" s="21" t="n">
        <f aca="false">SUM(N84:R84)</f>
        <v>0</v>
      </c>
      <c r="N84" s="21"/>
      <c r="O84" s="21"/>
      <c r="P84" s="21"/>
      <c r="Q84" s="21"/>
      <c r="R84" s="21"/>
      <c r="S84" s="21" t="n">
        <f aca="false">SUM(T84:X84)</f>
        <v>0</v>
      </c>
      <c r="T84" s="21"/>
      <c r="U84" s="21"/>
      <c r="V84" s="21"/>
      <c r="W84" s="21"/>
      <c r="X84" s="21"/>
      <c r="Y84" s="21" t="n">
        <f aca="false">SUM(Z84:AC84)</f>
        <v>0</v>
      </c>
      <c r="Z84" s="21"/>
      <c r="AA84" s="21"/>
      <c r="AB84" s="21"/>
      <c r="AC84" s="21"/>
      <c r="AD84" s="21" t="n">
        <f aca="false">SUM(AE84:AH84)</f>
        <v>0</v>
      </c>
      <c r="AE84" s="21"/>
      <c r="AF84" s="21"/>
      <c r="AG84" s="21"/>
      <c r="AH84" s="21"/>
      <c r="AI84" s="22" t="s">
        <v>259</v>
      </c>
      <c r="AJ84" s="19" t="s">
        <v>23</v>
      </c>
      <c r="AK84" s="19" t="s">
        <v>376</v>
      </c>
      <c r="AL84" s="19" t="s">
        <v>267</v>
      </c>
      <c r="AM84" s="26" t="s">
        <v>391</v>
      </c>
      <c r="AN84" s="19" t="s">
        <v>269</v>
      </c>
      <c r="AO84" s="19" t="s">
        <v>269</v>
      </c>
      <c r="AP84" s="19" t="s">
        <v>261</v>
      </c>
      <c r="AQ84" s="19" t="s">
        <v>270</v>
      </c>
      <c r="AR84" s="26" t="s">
        <v>392</v>
      </c>
      <c r="AS84" s="19" t="s">
        <v>44</v>
      </c>
      <c r="AT84" s="19" t="s">
        <v>313</v>
      </c>
      <c r="AU84" s="19" t="s">
        <v>393</v>
      </c>
    </row>
    <row r="85" customFormat="false" ht="99.75" hidden="false" customHeight="true" outlineLevel="0" collapsed="false">
      <c r="A85" s="19" t="s">
        <v>394</v>
      </c>
      <c r="B85" s="22" t="s">
        <v>257</v>
      </c>
      <c r="C85" s="22" t="s">
        <v>265</v>
      </c>
      <c r="D85" s="22" t="s">
        <v>395</v>
      </c>
      <c r="E85" s="22" t="s">
        <v>208</v>
      </c>
      <c r="F85" s="36" t="n">
        <f aca="false">G85+M85+S85+Y85+AE85</f>
        <v>25001.67926</v>
      </c>
      <c r="G85" s="36" t="n">
        <f aca="false">SUM(H85:L85)</f>
        <v>25001.67926</v>
      </c>
      <c r="H85" s="24"/>
      <c r="I85" s="24"/>
      <c r="J85" s="37"/>
      <c r="K85" s="36" t="n">
        <v>25001.67926</v>
      </c>
      <c r="L85" s="37"/>
      <c r="M85" s="24" t="n">
        <f aca="false">SUM(N85:R85)</f>
        <v>0</v>
      </c>
      <c r="N85" s="37"/>
      <c r="O85" s="37"/>
      <c r="P85" s="37"/>
      <c r="Q85" s="37"/>
      <c r="R85" s="37"/>
      <c r="S85" s="24" t="n">
        <f aca="false">T85+U85+V85+W85+X85</f>
        <v>0</v>
      </c>
      <c r="T85" s="37"/>
      <c r="U85" s="37"/>
      <c r="V85" s="37"/>
      <c r="W85" s="37"/>
      <c r="X85" s="37"/>
      <c r="Y85" s="24" t="n">
        <f aca="false">Z85+AA85+AB85+AC85+AD85</f>
        <v>0</v>
      </c>
      <c r="Z85" s="37"/>
      <c r="AA85" s="37"/>
      <c r="AB85" s="37"/>
      <c r="AC85" s="37"/>
      <c r="AD85" s="38" t="n">
        <f aca="false">AE85+AF85+AG85+AH85</f>
        <v>0</v>
      </c>
      <c r="AE85" s="39"/>
      <c r="AF85" s="38"/>
      <c r="AG85" s="38"/>
      <c r="AH85" s="38"/>
      <c r="AI85" s="22" t="s">
        <v>259</v>
      </c>
      <c r="AJ85" s="37" t="n">
        <v>2023</v>
      </c>
      <c r="AK85" s="37"/>
      <c r="AL85" s="22" t="s">
        <v>396</v>
      </c>
      <c r="AM85" s="37" t="s">
        <v>397</v>
      </c>
      <c r="AN85" s="22" t="s">
        <v>398</v>
      </c>
      <c r="AO85" s="22" t="s">
        <v>265</v>
      </c>
      <c r="AP85" s="22" t="s">
        <v>210</v>
      </c>
      <c r="AQ85" s="22" t="s">
        <v>210</v>
      </c>
      <c r="AR85" s="40" t="n">
        <v>543354.63</v>
      </c>
      <c r="AS85" s="22" t="s">
        <v>157</v>
      </c>
      <c r="AT85" s="37" t="s">
        <v>399</v>
      </c>
      <c r="AU85" s="37" t="s">
        <v>400</v>
      </c>
    </row>
    <row r="86" customFormat="false" ht="99.75" hidden="false" customHeight="true" outlineLevel="0" collapsed="false">
      <c r="A86" s="19" t="s">
        <v>401</v>
      </c>
      <c r="B86" s="19" t="s">
        <v>402</v>
      </c>
      <c r="C86" s="19" t="s">
        <v>403</v>
      </c>
      <c r="D86" s="19" t="s">
        <v>404</v>
      </c>
      <c r="E86" s="19" t="s">
        <v>122</v>
      </c>
      <c r="F86" s="21" t="n">
        <f aca="false">SUM(G86+M86+S86+Y86+AD86)</f>
        <v>518526.68848</v>
      </c>
      <c r="G86" s="21" t="n">
        <f aca="false">SUM(H86:L86)</f>
        <v>518526.68848</v>
      </c>
      <c r="H86" s="21" t="n">
        <f aca="false">485562.365+27779.05659</f>
        <v>513341.42159</v>
      </c>
      <c r="I86" s="21"/>
      <c r="J86" s="21" t="n">
        <f aca="false">0+5185.26689</f>
        <v>5185.26689</v>
      </c>
      <c r="K86" s="21"/>
      <c r="L86" s="21"/>
      <c r="M86" s="21" t="n">
        <f aca="false">SUM(N86:R86)</f>
        <v>0</v>
      </c>
      <c r="N86" s="21"/>
      <c r="O86" s="21"/>
      <c r="P86" s="21"/>
      <c r="Q86" s="21"/>
      <c r="R86" s="21"/>
      <c r="S86" s="21" t="n">
        <f aca="false">SUM(T86:X86)</f>
        <v>0</v>
      </c>
      <c r="T86" s="21"/>
      <c r="U86" s="21"/>
      <c r="V86" s="21"/>
      <c r="W86" s="21"/>
      <c r="X86" s="21"/>
      <c r="Y86" s="21" t="n">
        <f aca="false">SUM(Z86:AC86)</f>
        <v>0</v>
      </c>
      <c r="Z86" s="21"/>
      <c r="AA86" s="21"/>
      <c r="AB86" s="21"/>
      <c r="AC86" s="21"/>
      <c r="AD86" s="21" t="n">
        <f aca="false">SUM(AE86:AH86)</f>
        <v>0</v>
      </c>
      <c r="AE86" s="21"/>
      <c r="AF86" s="21"/>
      <c r="AG86" s="21"/>
      <c r="AH86" s="21"/>
      <c r="AI86" s="22" t="s">
        <v>405</v>
      </c>
      <c r="AJ86" s="19" t="s">
        <v>23</v>
      </c>
      <c r="AK86" s="19"/>
      <c r="AL86" s="26" t="s">
        <v>364</v>
      </c>
      <c r="AM86" s="19" t="s">
        <v>406</v>
      </c>
      <c r="AN86" s="19" t="s">
        <v>122</v>
      </c>
      <c r="AO86" s="19" t="s">
        <v>403</v>
      </c>
      <c r="AP86" s="19" t="s">
        <v>407</v>
      </c>
      <c r="AQ86" s="19" t="s">
        <v>155</v>
      </c>
      <c r="AR86" s="19" t="s">
        <v>408</v>
      </c>
      <c r="AS86" s="19" t="s">
        <v>157</v>
      </c>
      <c r="AT86" s="19" t="s">
        <v>45</v>
      </c>
      <c r="AU86" s="19" t="s">
        <v>409</v>
      </c>
    </row>
    <row r="87" customFormat="false" ht="99.75" hidden="false" customHeight="true" outlineLevel="0" collapsed="false">
      <c r="A87" s="19" t="s">
        <v>410</v>
      </c>
      <c r="B87" s="19" t="s">
        <v>402</v>
      </c>
      <c r="C87" s="19" t="s">
        <v>403</v>
      </c>
      <c r="D87" s="19" t="s">
        <v>411</v>
      </c>
      <c r="E87" s="19" t="s">
        <v>122</v>
      </c>
      <c r="F87" s="21" t="n">
        <f aca="false">SUM(G87+M87+S87+Y87+AD87)</f>
        <v>3879.40472</v>
      </c>
      <c r="G87" s="21" t="n">
        <f aca="false">SUM(H87:L87)</f>
        <v>3879.40472</v>
      </c>
      <c r="H87" s="21"/>
      <c r="I87" s="21" t="n">
        <v>3491.46425</v>
      </c>
      <c r="J87" s="21" t="n">
        <v>387.94047</v>
      </c>
      <c r="K87" s="21"/>
      <c r="L87" s="21"/>
      <c r="M87" s="21" t="n">
        <f aca="false">SUM(N87:R87)</f>
        <v>0</v>
      </c>
      <c r="N87" s="21"/>
      <c r="O87" s="21"/>
      <c r="P87" s="21"/>
      <c r="Q87" s="21"/>
      <c r="R87" s="21"/>
      <c r="S87" s="21" t="n">
        <f aca="false">SUM(T87:X87)</f>
        <v>0</v>
      </c>
      <c r="T87" s="21"/>
      <c r="U87" s="21"/>
      <c r="V87" s="21"/>
      <c r="W87" s="21"/>
      <c r="X87" s="21"/>
      <c r="Y87" s="21" t="n">
        <f aca="false">SUM(Z87:AC87)</f>
        <v>0</v>
      </c>
      <c r="Z87" s="21"/>
      <c r="AA87" s="21"/>
      <c r="AB87" s="21"/>
      <c r="AC87" s="21"/>
      <c r="AD87" s="21" t="n">
        <f aca="false">SUM(AE87:AH87)</f>
        <v>0</v>
      </c>
      <c r="AE87" s="21"/>
      <c r="AF87" s="21"/>
      <c r="AG87" s="21"/>
      <c r="AH87" s="21"/>
      <c r="AI87" s="22" t="s">
        <v>405</v>
      </c>
      <c r="AJ87" s="19" t="s">
        <v>24</v>
      </c>
      <c r="AK87" s="19" t="s">
        <v>23</v>
      </c>
      <c r="AL87" s="26" t="s">
        <v>364</v>
      </c>
      <c r="AM87" s="19" t="s">
        <v>412</v>
      </c>
      <c r="AN87" s="19" t="s">
        <v>122</v>
      </c>
      <c r="AO87" s="19" t="s">
        <v>403</v>
      </c>
      <c r="AP87" s="19" t="s">
        <v>155</v>
      </c>
      <c r="AQ87" s="19" t="s">
        <v>155</v>
      </c>
      <c r="AR87" s="19"/>
      <c r="AS87" s="19" t="s">
        <v>157</v>
      </c>
      <c r="AT87" s="19" t="s">
        <v>71</v>
      </c>
      <c r="AU87" s="19"/>
    </row>
    <row r="88" s="50" customFormat="true" ht="99.75" hidden="false" customHeight="true" outlineLevel="0" collapsed="false">
      <c r="A88" s="19" t="s">
        <v>413</v>
      </c>
      <c r="B88" s="23" t="s">
        <v>402</v>
      </c>
      <c r="C88" s="23" t="s">
        <v>403</v>
      </c>
      <c r="D88" s="23" t="s">
        <v>414</v>
      </c>
      <c r="E88" s="23" t="s">
        <v>122</v>
      </c>
      <c r="F88" s="41" t="n">
        <f aca="false">M88+S88+Y88+AE88</f>
        <v>113911.3</v>
      </c>
      <c r="G88" s="41" t="n">
        <f aca="false">SUM(H88:L88)</f>
        <v>0</v>
      </c>
      <c r="H88" s="41"/>
      <c r="I88" s="41"/>
      <c r="J88" s="41"/>
      <c r="K88" s="41"/>
      <c r="L88" s="41"/>
      <c r="M88" s="41" t="n">
        <f aca="false">SUM(N88:R88)</f>
        <v>113911.3</v>
      </c>
      <c r="N88" s="42" t="n">
        <f aca="false">0+112772.2</f>
        <v>112772.2</v>
      </c>
      <c r="O88" s="41" t="n">
        <f aca="false">0+1139.1</f>
        <v>1139.1</v>
      </c>
      <c r="P88" s="42"/>
      <c r="Q88" s="43"/>
      <c r="R88" s="43"/>
      <c r="S88" s="41" t="n">
        <f aca="false">SUM(T88:X88)</f>
        <v>0</v>
      </c>
      <c r="T88" s="43"/>
      <c r="U88" s="43"/>
      <c r="V88" s="43"/>
      <c r="W88" s="43"/>
      <c r="X88" s="43"/>
      <c r="Y88" s="41" t="n">
        <f aca="false">SUM(Z88:AD88)</f>
        <v>0</v>
      </c>
      <c r="Z88" s="43"/>
      <c r="AA88" s="43"/>
      <c r="AB88" s="43"/>
      <c r="AC88" s="43"/>
      <c r="AD88" s="41" t="n">
        <f aca="false">SUM(AE88:AH88)</f>
        <v>0</v>
      </c>
      <c r="AE88" s="41"/>
      <c r="AF88" s="43"/>
      <c r="AG88" s="43"/>
      <c r="AH88" s="43"/>
      <c r="AI88" s="22" t="s">
        <v>405</v>
      </c>
      <c r="AJ88" s="44" t="s">
        <v>24</v>
      </c>
      <c r="AK88" s="44" t="s">
        <v>23</v>
      </c>
      <c r="AL88" s="44" t="s">
        <v>364</v>
      </c>
      <c r="AM88" s="23" t="s">
        <v>412</v>
      </c>
      <c r="AN88" s="23" t="s">
        <v>415</v>
      </c>
      <c r="AO88" s="23" t="s">
        <v>403</v>
      </c>
      <c r="AP88" s="23" t="s">
        <v>407</v>
      </c>
      <c r="AQ88" s="45" t="s">
        <v>155</v>
      </c>
      <c r="AR88" s="46" t="s">
        <v>416</v>
      </c>
      <c r="AS88" s="47" t="s">
        <v>417</v>
      </c>
      <c r="AT88" s="48" t="s">
        <v>418</v>
      </c>
      <c r="AU88" s="47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</row>
    <row r="89" customFormat="false" ht="99.75" hidden="false" customHeight="true" outlineLevel="0" collapsed="false">
      <c r="A89" s="19" t="s">
        <v>419</v>
      </c>
      <c r="B89" s="19" t="s">
        <v>402</v>
      </c>
      <c r="C89" s="19" t="s">
        <v>403</v>
      </c>
      <c r="D89" s="19" t="s">
        <v>420</v>
      </c>
      <c r="E89" s="19" t="s">
        <v>74</v>
      </c>
      <c r="F89" s="21" t="n">
        <f aca="false">SUM(G89+M89+S89+Y89+AD89)</f>
        <v>1375823.637</v>
      </c>
      <c r="G89" s="21" t="n">
        <f aca="false">SUM(H89:L89)</f>
        <v>1375823.637</v>
      </c>
      <c r="H89" s="21" t="n">
        <f aca="false">0+1362065.4</f>
        <v>1362065.4</v>
      </c>
      <c r="I89" s="21" t="n">
        <f aca="false">298194.02456-285970.28012+1534.49256</f>
        <v>13758.237</v>
      </c>
      <c r="J89" s="21"/>
      <c r="K89" s="21"/>
      <c r="L89" s="21"/>
      <c r="M89" s="21" t="n">
        <f aca="false">SUM(N89:R89)</f>
        <v>0</v>
      </c>
      <c r="N89" s="21"/>
      <c r="O89" s="21"/>
      <c r="P89" s="21"/>
      <c r="Q89" s="21"/>
      <c r="R89" s="21"/>
      <c r="S89" s="21" t="n">
        <f aca="false">SUM(T89:X89)</f>
        <v>0</v>
      </c>
      <c r="T89" s="21"/>
      <c r="U89" s="21"/>
      <c r="V89" s="21"/>
      <c r="W89" s="21"/>
      <c r="X89" s="21"/>
      <c r="Y89" s="21" t="n">
        <f aca="false">SUM(Z89:AC89)</f>
        <v>0</v>
      </c>
      <c r="Z89" s="21"/>
      <c r="AA89" s="21"/>
      <c r="AB89" s="21"/>
      <c r="AC89" s="21"/>
      <c r="AD89" s="21" t="n">
        <f aca="false">SUM(AE89:AH89)</f>
        <v>0</v>
      </c>
      <c r="AE89" s="21"/>
      <c r="AF89" s="21"/>
      <c r="AG89" s="21"/>
      <c r="AH89" s="21"/>
      <c r="AI89" s="22" t="s">
        <v>421</v>
      </c>
      <c r="AJ89" s="19" t="s">
        <v>24</v>
      </c>
      <c r="AK89" s="19"/>
      <c r="AL89" s="19" t="s">
        <v>40</v>
      </c>
      <c r="AM89" s="19" t="s">
        <v>422</v>
      </c>
      <c r="AN89" s="19" t="s">
        <v>423</v>
      </c>
      <c r="AO89" s="19" t="s">
        <v>403</v>
      </c>
      <c r="AP89" s="19" t="s">
        <v>423</v>
      </c>
      <c r="AQ89" s="19" t="s">
        <v>423</v>
      </c>
      <c r="AR89" s="19" t="s">
        <v>424</v>
      </c>
      <c r="AS89" s="19" t="s">
        <v>44</v>
      </c>
      <c r="AT89" s="19" t="s">
        <v>96</v>
      </c>
      <c r="AU89" s="19" t="s">
        <v>425</v>
      </c>
    </row>
    <row r="90" customFormat="false" ht="99.75" hidden="false" customHeight="true" outlineLevel="0" collapsed="false">
      <c r="A90" s="19" t="s">
        <v>426</v>
      </c>
      <c r="B90" s="19" t="s">
        <v>402</v>
      </c>
      <c r="C90" s="19" t="s">
        <v>403</v>
      </c>
      <c r="D90" s="19" t="s">
        <v>420</v>
      </c>
      <c r="E90" s="19" t="s">
        <v>74</v>
      </c>
      <c r="F90" s="21" t="n">
        <f aca="false">SUM(G90+M90+S90+Y90+AD90)</f>
        <v>2940410.62142</v>
      </c>
      <c r="G90" s="21" t="n">
        <f aca="false">SUM(H90:L90)</f>
        <v>119369.53342</v>
      </c>
      <c r="H90" s="21"/>
      <c r="I90" s="21" t="n">
        <f aca="false">285970.28012-166600.7467</f>
        <v>119369.53342</v>
      </c>
      <c r="J90" s="21"/>
      <c r="K90" s="21"/>
      <c r="L90" s="21"/>
      <c r="M90" s="21" t="n">
        <f aca="false">SUM(N90:R90)</f>
        <v>2821041.088</v>
      </c>
      <c r="N90" s="21"/>
      <c r="O90" s="21" t="n">
        <v>2821041.088</v>
      </c>
      <c r="P90" s="21"/>
      <c r="Q90" s="21"/>
      <c r="R90" s="21"/>
      <c r="S90" s="21" t="n">
        <f aca="false">SUM(T90:X90)</f>
        <v>0</v>
      </c>
      <c r="T90" s="21"/>
      <c r="U90" s="21"/>
      <c r="V90" s="21"/>
      <c r="W90" s="21"/>
      <c r="X90" s="21"/>
      <c r="Y90" s="21" t="n">
        <f aca="false">SUM(Z90:AC90)</f>
        <v>0</v>
      </c>
      <c r="Z90" s="21"/>
      <c r="AA90" s="21"/>
      <c r="AB90" s="21"/>
      <c r="AC90" s="21"/>
      <c r="AD90" s="21" t="n">
        <f aca="false">SUM(AE90:AH90)</f>
        <v>0</v>
      </c>
      <c r="AE90" s="21"/>
      <c r="AF90" s="21"/>
      <c r="AG90" s="21"/>
      <c r="AH90" s="21"/>
      <c r="AI90" s="22" t="s">
        <v>405</v>
      </c>
      <c r="AJ90" s="19" t="s">
        <v>24</v>
      </c>
      <c r="AK90" s="19"/>
      <c r="AL90" s="19" t="s">
        <v>40</v>
      </c>
      <c r="AM90" s="19" t="s">
        <v>422</v>
      </c>
      <c r="AN90" s="19" t="s">
        <v>423</v>
      </c>
      <c r="AO90" s="19" t="s">
        <v>403</v>
      </c>
      <c r="AP90" s="19" t="s">
        <v>423</v>
      </c>
      <c r="AQ90" s="19" t="s">
        <v>423</v>
      </c>
      <c r="AR90" s="19" t="s">
        <v>427</v>
      </c>
      <c r="AS90" s="19" t="s">
        <v>44</v>
      </c>
      <c r="AT90" s="19" t="s">
        <v>96</v>
      </c>
      <c r="AU90" s="19" t="s">
        <v>425</v>
      </c>
    </row>
    <row r="91" customFormat="false" ht="99.75" hidden="false" customHeight="true" outlineLevel="0" collapsed="false">
      <c r="A91" s="19" t="s">
        <v>428</v>
      </c>
      <c r="B91" s="19" t="s">
        <v>402</v>
      </c>
      <c r="C91" s="19" t="s">
        <v>403</v>
      </c>
      <c r="D91" s="19" t="s">
        <v>429</v>
      </c>
      <c r="E91" s="19" t="s">
        <v>74</v>
      </c>
      <c r="F91" s="21" t="n">
        <f aca="false">SUM(G91+M91+S91+Y91+AD91)</f>
        <v>3540.62608</v>
      </c>
      <c r="G91" s="21" t="n">
        <f aca="false">SUM(H91:L91)</f>
        <v>3540.62608</v>
      </c>
      <c r="H91" s="21" t="n">
        <f aca="false">0+115491.7-115491.7</f>
        <v>0</v>
      </c>
      <c r="I91" s="21" t="n">
        <f aca="false">7248.29263-3707.66655</f>
        <v>3540.62608</v>
      </c>
      <c r="J91" s="21"/>
      <c r="K91" s="21"/>
      <c r="L91" s="21"/>
      <c r="M91" s="21" t="n">
        <f aca="false">SUM(N91:R91)</f>
        <v>0</v>
      </c>
      <c r="N91" s="21"/>
      <c r="O91" s="21"/>
      <c r="P91" s="21"/>
      <c r="Q91" s="21"/>
      <c r="R91" s="21"/>
      <c r="S91" s="21" t="n">
        <f aca="false">SUM(T91:X91)</f>
        <v>0</v>
      </c>
      <c r="T91" s="21"/>
      <c r="U91" s="21"/>
      <c r="V91" s="21"/>
      <c r="W91" s="21"/>
      <c r="X91" s="21"/>
      <c r="Y91" s="21" t="n">
        <f aca="false">SUM(Z91:AC91)</f>
        <v>0</v>
      </c>
      <c r="Z91" s="21"/>
      <c r="AA91" s="21"/>
      <c r="AB91" s="21"/>
      <c r="AC91" s="21"/>
      <c r="AD91" s="21" t="n">
        <f aca="false">SUM(AE91:AH91)</f>
        <v>0</v>
      </c>
      <c r="AE91" s="21"/>
      <c r="AF91" s="21"/>
      <c r="AG91" s="21"/>
      <c r="AH91" s="21"/>
      <c r="AI91" s="19" t="s">
        <v>430</v>
      </c>
      <c r="AJ91" s="19" t="s">
        <v>23</v>
      </c>
      <c r="AK91" s="19"/>
      <c r="AL91" s="19" t="s">
        <v>40</v>
      </c>
      <c r="AM91" s="19" t="s">
        <v>431</v>
      </c>
      <c r="AN91" s="19" t="s">
        <v>423</v>
      </c>
      <c r="AO91" s="19" t="s">
        <v>403</v>
      </c>
      <c r="AP91" s="19" t="s">
        <v>423</v>
      </c>
      <c r="AQ91" s="19" t="s">
        <v>423</v>
      </c>
      <c r="AR91" s="19" t="s">
        <v>432</v>
      </c>
      <c r="AS91" s="19" t="s">
        <v>44</v>
      </c>
      <c r="AT91" s="19" t="s">
        <v>96</v>
      </c>
      <c r="AU91" s="19" t="s">
        <v>433</v>
      </c>
    </row>
    <row r="92" customFormat="false" ht="99.75" hidden="false" customHeight="true" outlineLevel="0" collapsed="false">
      <c r="A92" s="19" t="s">
        <v>434</v>
      </c>
      <c r="B92" s="19" t="s">
        <v>402</v>
      </c>
      <c r="C92" s="19" t="s">
        <v>403</v>
      </c>
      <c r="D92" s="19" t="s">
        <v>435</v>
      </c>
      <c r="E92" s="19" t="s">
        <v>74</v>
      </c>
      <c r="F92" s="21" t="n">
        <f aca="false">SUM(G92+M92+S92+Y92+AD92)</f>
        <v>3920.33518</v>
      </c>
      <c r="G92" s="21" t="n">
        <f aca="false">SUM(H92:L92)</f>
        <v>3920.33518</v>
      </c>
      <c r="H92" s="21" t="n">
        <f aca="false">0+178487.9-178487.9</f>
        <v>0</v>
      </c>
      <c r="I92" s="21" t="n">
        <f aca="false">11192.62631-7272.29113</f>
        <v>3920.33518</v>
      </c>
      <c r="J92" s="21"/>
      <c r="K92" s="21"/>
      <c r="L92" s="21"/>
      <c r="M92" s="21" t="n">
        <f aca="false">SUM(N92:R92)</f>
        <v>0</v>
      </c>
      <c r="N92" s="21"/>
      <c r="O92" s="21"/>
      <c r="P92" s="21"/>
      <c r="Q92" s="21"/>
      <c r="R92" s="21"/>
      <c r="S92" s="21" t="n">
        <f aca="false">SUM(T92:X92)</f>
        <v>0</v>
      </c>
      <c r="T92" s="21"/>
      <c r="U92" s="21"/>
      <c r="V92" s="21"/>
      <c r="W92" s="21"/>
      <c r="X92" s="21"/>
      <c r="Y92" s="21" t="n">
        <f aca="false">SUM(Z92:AC92)</f>
        <v>0</v>
      </c>
      <c r="Z92" s="21"/>
      <c r="AA92" s="21"/>
      <c r="AB92" s="21"/>
      <c r="AC92" s="21"/>
      <c r="AD92" s="21" t="n">
        <f aca="false">SUM(AE92:AH92)</f>
        <v>0</v>
      </c>
      <c r="AE92" s="21"/>
      <c r="AF92" s="21"/>
      <c r="AG92" s="21"/>
      <c r="AH92" s="21"/>
      <c r="AI92" s="19" t="s">
        <v>430</v>
      </c>
      <c r="AJ92" s="19" t="s">
        <v>23</v>
      </c>
      <c r="AK92" s="19"/>
      <c r="AL92" s="19" t="s">
        <v>40</v>
      </c>
      <c r="AM92" s="19" t="s">
        <v>436</v>
      </c>
      <c r="AN92" s="19" t="s">
        <v>423</v>
      </c>
      <c r="AO92" s="19" t="s">
        <v>403</v>
      </c>
      <c r="AP92" s="19" t="s">
        <v>423</v>
      </c>
      <c r="AQ92" s="19" t="s">
        <v>423</v>
      </c>
      <c r="AR92" s="19" t="s">
        <v>437</v>
      </c>
      <c r="AS92" s="19" t="s">
        <v>44</v>
      </c>
      <c r="AT92" s="19" t="s">
        <v>96</v>
      </c>
      <c r="AU92" s="19" t="s">
        <v>438</v>
      </c>
    </row>
    <row r="93" customFormat="false" ht="133.5" hidden="false" customHeight="true" outlineLevel="0" collapsed="false">
      <c r="A93" s="19" t="s">
        <v>439</v>
      </c>
      <c r="B93" s="19" t="s">
        <v>402</v>
      </c>
      <c r="C93" s="19" t="s">
        <v>36</v>
      </c>
      <c r="D93" s="19" t="s">
        <v>440</v>
      </c>
      <c r="E93" s="19" t="s">
        <v>122</v>
      </c>
      <c r="F93" s="21" t="n">
        <f aca="false">SUM(G93+M93+S93+Y93+AD93)</f>
        <v>669890.62588</v>
      </c>
      <c r="G93" s="21" t="n">
        <f aca="false">SUM(H93:L93)</f>
        <v>215462.62588</v>
      </c>
      <c r="H93" s="21" t="n">
        <v>201367</v>
      </c>
      <c r="I93" s="21" t="n">
        <f aca="false">5000-404.37412+9500</f>
        <v>14095.62588</v>
      </c>
      <c r="J93" s="21"/>
      <c r="K93" s="21"/>
      <c r="L93" s="21"/>
      <c r="M93" s="21" t="n">
        <f aca="false">SUM(N93:R93)</f>
        <v>454428</v>
      </c>
      <c r="N93" s="21" t="n">
        <v>402735</v>
      </c>
      <c r="O93" s="21" t="n">
        <f aca="false">251693-200000</f>
        <v>51693</v>
      </c>
      <c r="P93" s="21"/>
      <c r="Q93" s="21"/>
      <c r="R93" s="21"/>
      <c r="S93" s="21" t="n">
        <f aca="false">SUM(T93:X93)</f>
        <v>0</v>
      </c>
      <c r="T93" s="21"/>
      <c r="U93" s="21"/>
      <c r="V93" s="21"/>
      <c r="W93" s="21"/>
      <c r="X93" s="21"/>
      <c r="Y93" s="21" t="n">
        <f aca="false">SUM(Z93:AC93)</f>
        <v>0</v>
      </c>
      <c r="Z93" s="21"/>
      <c r="AA93" s="21"/>
      <c r="AB93" s="21"/>
      <c r="AC93" s="21"/>
      <c r="AD93" s="21" t="n">
        <f aca="false">SUM(AE93:AH93)</f>
        <v>0</v>
      </c>
      <c r="AE93" s="21"/>
      <c r="AF93" s="21"/>
      <c r="AG93" s="21"/>
      <c r="AH93" s="21"/>
      <c r="AI93" s="23" t="s">
        <v>441</v>
      </c>
      <c r="AJ93" s="19" t="s">
        <v>24</v>
      </c>
      <c r="AK93" s="19" t="s">
        <v>61</v>
      </c>
      <c r="AL93" s="19" t="s">
        <v>40</v>
      </c>
      <c r="AM93" s="19" t="s">
        <v>442</v>
      </c>
      <c r="AN93" s="19" t="s">
        <v>443</v>
      </c>
      <c r="AO93" s="19" t="s">
        <v>403</v>
      </c>
      <c r="AP93" s="19" t="s">
        <v>36</v>
      </c>
      <c r="AQ93" s="19" t="s">
        <v>443</v>
      </c>
      <c r="AR93" s="19" t="s">
        <v>444</v>
      </c>
      <c r="AS93" s="19" t="s">
        <v>44</v>
      </c>
      <c r="AT93" s="19" t="s">
        <v>96</v>
      </c>
      <c r="AU93" s="19"/>
    </row>
    <row r="94" customFormat="false" ht="128.25" hidden="false" customHeight="true" outlineLevel="0" collapsed="false">
      <c r="A94" s="19" t="s">
        <v>445</v>
      </c>
      <c r="B94" s="19" t="s">
        <v>402</v>
      </c>
      <c r="C94" s="19" t="s">
        <v>403</v>
      </c>
      <c r="D94" s="19" t="s">
        <v>440</v>
      </c>
      <c r="E94" s="19" t="s">
        <v>122</v>
      </c>
      <c r="F94" s="21" t="n">
        <f aca="false">SUM(G94+M94+S94+Y94+AD94)</f>
        <v>404.37412</v>
      </c>
      <c r="G94" s="21" t="n">
        <f aca="false">SUM(H94:L94)</f>
        <v>404.37412</v>
      </c>
      <c r="H94" s="21"/>
      <c r="I94" s="21" t="n">
        <f aca="false">0+404.37412</f>
        <v>404.37412</v>
      </c>
      <c r="J94" s="21"/>
      <c r="K94" s="21"/>
      <c r="L94" s="21"/>
      <c r="M94" s="21" t="n">
        <f aca="false">SUM(N94:R94)</f>
        <v>0</v>
      </c>
      <c r="N94" s="21"/>
      <c r="O94" s="21"/>
      <c r="P94" s="21"/>
      <c r="Q94" s="21"/>
      <c r="R94" s="21"/>
      <c r="S94" s="21" t="n">
        <f aca="false">SUM(T94:X94)</f>
        <v>0</v>
      </c>
      <c r="T94" s="21"/>
      <c r="U94" s="21"/>
      <c r="V94" s="21"/>
      <c r="W94" s="21"/>
      <c r="X94" s="21"/>
      <c r="Y94" s="21" t="n">
        <f aca="false">SUM(Z94:AC94)</f>
        <v>0</v>
      </c>
      <c r="Z94" s="21"/>
      <c r="AA94" s="21"/>
      <c r="AB94" s="21"/>
      <c r="AC94" s="21"/>
      <c r="AD94" s="21" t="n">
        <f aca="false">SUM(AE94:AH94)</f>
        <v>0</v>
      </c>
      <c r="AE94" s="21"/>
      <c r="AF94" s="21"/>
      <c r="AG94" s="21"/>
      <c r="AH94" s="21"/>
      <c r="AI94" s="23" t="s">
        <v>441</v>
      </c>
      <c r="AJ94" s="19" t="s">
        <v>24</v>
      </c>
      <c r="AK94" s="19" t="s">
        <v>61</v>
      </c>
      <c r="AL94" s="19" t="s">
        <v>40</v>
      </c>
      <c r="AM94" s="19" t="s">
        <v>442</v>
      </c>
      <c r="AN94" s="19" t="s">
        <v>423</v>
      </c>
      <c r="AO94" s="19" t="s">
        <v>403</v>
      </c>
      <c r="AP94" s="19" t="s">
        <v>423</v>
      </c>
      <c r="AQ94" s="19" t="s">
        <v>423</v>
      </c>
      <c r="AR94" s="19" t="s">
        <v>444</v>
      </c>
      <c r="AS94" s="19" t="s">
        <v>44</v>
      </c>
      <c r="AT94" s="19" t="s">
        <v>96</v>
      </c>
      <c r="AU94" s="19"/>
    </row>
    <row r="95" customFormat="false" ht="99.75" hidden="false" customHeight="true" outlineLevel="0" collapsed="false">
      <c r="A95" s="19" t="s">
        <v>446</v>
      </c>
      <c r="B95" s="19" t="s">
        <v>402</v>
      </c>
      <c r="C95" s="19" t="s">
        <v>403</v>
      </c>
      <c r="D95" s="19" t="s">
        <v>447</v>
      </c>
      <c r="E95" s="19" t="s">
        <v>122</v>
      </c>
      <c r="F95" s="21" t="n">
        <f aca="false">SUM(G95+M95+S95+Y95+AD95)</f>
        <v>303759.03732</v>
      </c>
      <c r="G95" s="21" t="n">
        <f aca="false">SUM(H95:L95)</f>
        <v>16666.66667</v>
      </c>
      <c r="H95" s="21"/>
      <c r="I95" s="21" t="n">
        <v>15000</v>
      </c>
      <c r="J95" s="21" t="n">
        <f aca="false">0+1666.66667</f>
        <v>1666.66667</v>
      </c>
      <c r="K95" s="21"/>
      <c r="L95" s="21"/>
      <c r="M95" s="21" t="n">
        <f aca="false">SUM(N95:R95)</f>
        <v>287092.37065</v>
      </c>
      <c r="N95" s="21"/>
      <c r="O95" s="21" t="n">
        <f aca="false">227236.47651+59855.89414</f>
        <v>287092.37065</v>
      </c>
      <c r="P95" s="21"/>
      <c r="Q95" s="21"/>
      <c r="R95" s="21"/>
      <c r="S95" s="21" t="n">
        <f aca="false">SUM(T95:X95)</f>
        <v>0</v>
      </c>
      <c r="T95" s="21"/>
      <c r="U95" s="21"/>
      <c r="V95" s="21"/>
      <c r="W95" s="21"/>
      <c r="X95" s="21"/>
      <c r="Y95" s="21" t="n">
        <f aca="false">SUM(Z95:AC95)</f>
        <v>0</v>
      </c>
      <c r="Z95" s="21"/>
      <c r="AA95" s="21"/>
      <c r="AB95" s="21"/>
      <c r="AC95" s="21"/>
      <c r="AD95" s="21" t="n">
        <f aca="false">SUM(AE95:AH95)</f>
        <v>0</v>
      </c>
      <c r="AE95" s="21"/>
      <c r="AF95" s="21"/>
      <c r="AG95" s="21"/>
      <c r="AH95" s="21"/>
      <c r="AI95" s="22" t="s">
        <v>405</v>
      </c>
      <c r="AJ95" s="19" t="s">
        <v>24</v>
      </c>
      <c r="AK95" s="19"/>
      <c r="AL95" s="26" t="s">
        <v>364</v>
      </c>
      <c r="AM95" s="19" t="s">
        <v>448</v>
      </c>
      <c r="AN95" s="19" t="s">
        <v>122</v>
      </c>
      <c r="AO95" s="19" t="s">
        <v>403</v>
      </c>
      <c r="AP95" s="19" t="s">
        <v>407</v>
      </c>
      <c r="AQ95" s="19" t="s">
        <v>155</v>
      </c>
      <c r="AR95" s="19" t="s">
        <v>449</v>
      </c>
      <c r="AS95" s="19" t="s">
        <v>157</v>
      </c>
      <c r="AT95" s="19" t="s">
        <v>45</v>
      </c>
      <c r="AU95" s="19" t="s">
        <v>450</v>
      </c>
    </row>
    <row r="96" customFormat="false" ht="110.25" hidden="false" customHeight="true" outlineLevel="0" collapsed="false">
      <c r="A96" s="19" t="s">
        <v>451</v>
      </c>
      <c r="B96" s="19" t="s">
        <v>402</v>
      </c>
      <c r="C96" s="19" t="s">
        <v>403</v>
      </c>
      <c r="D96" s="19" t="s">
        <v>452</v>
      </c>
      <c r="E96" s="19" t="s">
        <v>122</v>
      </c>
      <c r="F96" s="21" t="n">
        <f aca="false">SUM(G96+M96+S96+Y96+AD96)</f>
        <v>42758.51968</v>
      </c>
      <c r="G96" s="21" t="n">
        <f aca="false">SUM(H96:L96)</f>
        <v>42758.51968</v>
      </c>
      <c r="H96" s="21"/>
      <c r="I96" s="21" t="n">
        <v>38482.66771</v>
      </c>
      <c r="J96" s="21" t="n">
        <f aca="false">3548.55703+727.29494</f>
        <v>4275.85197</v>
      </c>
      <c r="K96" s="21"/>
      <c r="L96" s="21"/>
      <c r="M96" s="21" t="n">
        <f aca="false">SUM(N96:R96)</f>
        <v>0</v>
      </c>
      <c r="N96" s="21"/>
      <c r="O96" s="21"/>
      <c r="P96" s="21"/>
      <c r="Q96" s="21"/>
      <c r="R96" s="21"/>
      <c r="S96" s="21" t="n">
        <f aca="false">SUM(T96:X96)</f>
        <v>0</v>
      </c>
      <c r="T96" s="21"/>
      <c r="U96" s="21"/>
      <c r="V96" s="21"/>
      <c r="W96" s="21"/>
      <c r="X96" s="21"/>
      <c r="Y96" s="21" t="n">
        <f aca="false">SUM(Z96:AC96)</f>
        <v>0</v>
      </c>
      <c r="Z96" s="21"/>
      <c r="AA96" s="21"/>
      <c r="AB96" s="21"/>
      <c r="AC96" s="21"/>
      <c r="AD96" s="21" t="n">
        <f aca="false">SUM(AE96:AH96)</f>
        <v>0</v>
      </c>
      <c r="AE96" s="21"/>
      <c r="AF96" s="21"/>
      <c r="AG96" s="21"/>
      <c r="AH96" s="21"/>
      <c r="AI96" s="22" t="s">
        <v>405</v>
      </c>
      <c r="AJ96" s="19" t="s">
        <v>25</v>
      </c>
      <c r="AK96" s="19" t="s">
        <v>23</v>
      </c>
      <c r="AL96" s="26" t="s">
        <v>364</v>
      </c>
      <c r="AM96" s="19" t="s">
        <v>453</v>
      </c>
      <c r="AN96" s="19" t="s">
        <v>122</v>
      </c>
      <c r="AO96" s="19" t="s">
        <v>454</v>
      </c>
      <c r="AP96" s="19" t="s">
        <v>407</v>
      </c>
      <c r="AQ96" s="19" t="s">
        <v>155</v>
      </c>
      <c r="AR96" s="19" t="s">
        <v>455</v>
      </c>
      <c r="AS96" s="19" t="s">
        <v>157</v>
      </c>
      <c r="AT96" s="19" t="s">
        <v>71</v>
      </c>
      <c r="AU96" s="19"/>
    </row>
    <row r="97" customFormat="false" ht="99.75" hidden="false" customHeight="true" outlineLevel="0" collapsed="false">
      <c r="A97" s="19" t="s">
        <v>456</v>
      </c>
      <c r="B97" s="19" t="s">
        <v>402</v>
      </c>
      <c r="C97" s="19" t="s">
        <v>403</v>
      </c>
      <c r="D97" s="19" t="s">
        <v>457</v>
      </c>
      <c r="E97" s="19" t="s">
        <v>122</v>
      </c>
      <c r="F97" s="21" t="n">
        <f aca="false">SUM(G97+M97+S97+Y97+AD97)</f>
        <v>1091721.964</v>
      </c>
      <c r="G97" s="21" t="n">
        <f aca="false">SUM(H97:L97)</f>
        <v>1225.164</v>
      </c>
      <c r="H97" s="21"/>
      <c r="I97" s="21" t="n">
        <f aca="false">0+8946.51493+33954.25413-41675.60506</f>
        <v>1225.164</v>
      </c>
      <c r="J97" s="21"/>
      <c r="K97" s="21"/>
      <c r="L97" s="21"/>
      <c r="M97" s="21" t="n">
        <f aca="false">SUM(N97:R97)</f>
        <v>466796.8</v>
      </c>
      <c r="N97" s="21"/>
      <c r="O97" s="21" t="n">
        <f aca="false">270000+200000-3203.2</f>
        <v>466796.8</v>
      </c>
      <c r="P97" s="21"/>
      <c r="Q97" s="21"/>
      <c r="R97" s="21"/>
      <c r="S97" s="21" t="n">
        <f aca="false">SUM(T97:X97)</f>
        <v>623700</v>
      </c>
      <c r="T97" s="21"/>
      <c r="U97" s="21" t="n">
        <v>623700</v>
      </c>
      <c r="V97" s="21"/>
      <c r="W97" s="21"/>
      <c r="X97" s="21"/>
      <c r="Y97" s="21" t="n">
        <f aca="false">SUM(Z97:AC97)</f>
        <v>0</v>
      </c>
      <c r="Z97" s="21"/>
      <c r="AA97" s="21"/>
      <c r="AB97" s="21"/>
      <c r="AC97" s="21"/>
      <c r="AD97" s="21" t="n">
        <f aca="false">SUM(AE97:AH97)</f>
        <v>0</v>
      </c>
      <c r="AE97" s="21"/>
      <c r="AF97" s="21"/>
      <c r="AG97" s="21"/>
      <c r="AH97" s="21"/>
      <c r="AI97" s="22" t="s">
        <v>405</v>
      </c>
      <c r="AJ97" s="19" t="s">
        <v>25</v>
      </c>
      <c r="AK97" s="19"/>
      <c r="AL97" s="19" t="s">
        <v>40</v>
      </c>
      <c r="AM97" s="19" t="s">
        <v>458</v>
      </c>
      <c r="AN97" s="19" t="s">
        <v>423</v>
      </c>
      <c r="AO97" s="19" t="s">
        <v>403</v>
      </c>
      <c r="AP97" s="19" t="s">
        <v>423</v>
      </c>
      <c r="AQ97" s="19" t="s">
        <v>423</v>
      </c>
      <c r="AR97" s="19" t="s">
        <v>459</v>
      </c>
      <c r="AS97" s="19" t="s">
        <v>44</v>
      </c>
      <c r="AT97" s="19" t="s">
        <v>45</v>
      </c>
      <c r="AU97" s="19" t="s">
        <v>460</v>
      </c>
    </row>
    <row r="98" customFormat="false" ht="99.75" hidden="false" customHeight="true" outlineLevel="0" collapsed="false">
      <c r="A98" s="19" t="s">
        <v>461</v>
      </c>
      <c r="B98" s="19" t="s">
        <v>402</v>
      </c>
      <c r="C98" s="19" t="s">
        <v>403</v>
      </c>
      <c r="D98" s="19" t="s">
        <v>462</v>
      </c>
      <c r="E98" s="19" t="s">
        <v>122</v>
      </c>
      <c r="F98" s="21" t="n">
        <f aca="false">SUM(G98+M98+S98+Y98+AD98)</f>
        <v>3733.61249</v>
      </c>
      <c r="G98" s="21" t="n">
        <f aca="false">SUM(H98:L98)</f>
        <v>3733.61249</v>
      </c>
      <c r="H98" s="21"/>
      <c r="I98" s="21" t="n">
        <v>3360.25124</v>
      </c>
      <c r="J98" s="21" t="n">
        <f aca="false">336.02312+37.33813</f>
        <v>373.36125</v>
      </c>
      <c r="K98" s="21"/>
      <c r="L98" s="21"/>
      <c r="M98" s="21" t="n">
        <f aca="false">SUM(N98:R98)</f>
        <v>0</v>
      </c>
      <c r="N98" s="21"/>
      <c r="O98" s="21"/>
      <c r="P98" s="21"/>
      <c r="Q98" s="21"/>
      <c r="R98" s="21"/>
      <c r="S98" s="21" t="n">
        <f aca="false">SUM(T98:X98)</f>
        <v>0</v>
      </c>
      <c r="T98" s="21"/>
      <c r="U98" s="21"/>
      <c r="V98" s="21"/>
      <c r="W98" s="21"/>
      <c r="X98" s="21"/>
      <c r="Y98" s="21" t="n">
        <f aca="false">SUM(Z98:AC98)</f>
        <v>0</v>
      </c>
      <c r="Z98" s="21"/>
      <c r="AA98" s="21"/>
      <c r="AB98" s="21"/>
      <c r="AC98" s="21"/>
      <c r="AD98" s="21" t="n">
        <f aca="false">SUM(AE98:AH98)</f>
        <v>0</v>
      </c>
      <c r="AE98" s="21"/>
      <c r="AF98" s="21"/>
      <c r="AG98" s="21"/>
      <c r="AH98" s="21"/>
      <c r="AI98" s="22" t="s">
        <v>405</v>
      </c>
      <c r="AJ98" s="19" t="s">
        <v>24</v>
      </c>
      <c r="AK98" s="19" t="s">
        <v>23</v>
      </c>
      <c r="AL98" s="26" t="s">
        <v>364</v>
      </c>
      <c r="AM98" s="19" t="s">
        <v>463</v>
      </c>
      <c r="AN98" s="19" t="s">
        <v>155</v>
      </c>
      <c r="AO98" s="19" t="s">
        <v>454</v>
      </c>
      <c r="AP98" s="19" t="s">
        <v>407</v>
      </c>
      <c r="AQ98" s="19" t="s">
        <v>155</v>
      </c>
      <c r="AR98" s="19"/>
      <c r="AS98" s="19" t="s">
        <v>157</v>
      </c>
      <c r="AT98" s="19" t="s">
        <v>464</v>
      </c>
      <c r="AU98" s="19"/>
    </row>
    <row r="99" customFormat="false" ht="99.75" hidden="false" customHeight="true" outlineLevel="0" collapsed="false">
      <c r="A99" s="19" t="s">
        <v>465</v>
      </c>
      <c r="B99" s="19" t="s">
        <v>402</v>
      </c>
      <c r="C99" s="19" t="s">
        <v>403</v>
      </c>
      <c r="D99" s="51" t="s">
        <v>466</v>
      </c>
      <c r="E99" s="19" t="s">
        <v>122</v>
      </c>
      <c r="F99" s="21" t="n">
        <f aca="false">M99+S99+Y99+AE99</f>
        <v>92956.5</v>
      </c>
      <c r="G99" s="21" t="n">
        <f aca="false">SUM(H99:L99)</f>
        <v>0</v>
      </c>
      <c r="H99" s="21"/>
      <c r="I99" s="21"/>
      <c r="J99" s="21"/>
      <c r="K99" s="21"/>
      <c r="L99" s="21"/>
      <c r="M99" s="21" t="n">
        <f aca="false">SUM(N99:R99)</f>
        <v>92956.5</v>
      </c>
      <c r="N99" s="52" t="n">
        <f aca="false">0+92026.9</f>
        <v>92026.9</v>
      </c>
      <c r="O99" s="21" t="n">
        <f aca="false">0+929.6</f>
        <v>929.6</v>
      </c>
      <c r="P99" s="52"/>
      <c r="Q99" s="21"/>
      <c r="R99" s="21"/>
      <c r="S99" s="21" t="n">
        <f aca="false">SUM(T99:X99)</f>
        <v>0</v>
      </c>
      <c r="T99" s="21"/>
      <c r="U99" s="21"/>
      <c r="V99" s="21"/>
      <c r="W99" s="21"/>
      <c r="X99" s="21"/>
      <c r="Y99" s="21" t="n">
        <f aca="false">SUM(Z99:AD99)</f>
        <v>0</v>
      </c>
      <c r="Z99" s="21"/>
      <c r="AA99" s="21"/>
      <c r="AB99" s="21"/>
      <c r="AC99" s="21"/>
      <c r="AD99" s="21" t="n">
        <f aca="false">SUM(AE99:AH99)</f>
        <v>0</v>
      </c>
      <c r="AE99" s="21"/>
      <c r="AF99" s="21"/>
      <c r="AG99" s="21"/>
      <c r="AH99" s="21"/>
      <c r="AI99" s="22" t="s">
        <v>405</v>
      </c>
      <c r="AJ99" s="53" t="s">
        <v>24</v>
      </c>
      <c r="AK99" s="51" t="s">
        <v>23</v>
      </c>
      <c r="AL99" s="54" t="s">
        <v>364</v>
      </c>
      <c r="AM99" s="55" t="s">
        <v>467</v>
      </c>
      <c r="AN99" s="56" t="s">
        <v>415</v>
      </c>
      <c r="AO99" s="19" t="s">
        <v>454</v>
      </c>
      <c r="AP99" s="56" t="s">
        <v>407</v>
      </c>
      <c r="AQ99" s="57" t="s">
        <v>155</v>
      </c>
      <c r="AR99" s="58" t="s">
        <v>468</v>
      </c>
      <c r="AS99" s="59" t="s">
        <v>417</v>
      </c>
      <c r="AT99" s="60" t="s">
        <v>418</v>
      </c>
      <c r="AU99" s="56"/>
    </row>
    <row r="100" customFormat="false" ht="99.75" hidden="false" customHeight="true" outlineLevel="0" collapsed="false">
      <c r="A100" s="19" t="s">
        <v>469</v>
      </c>
      <c r="B100" s="19" t="s">
        <v>402</v>
      </c>
      <c r="C100" s="19" t="s">
        <v>403</v>
      </c>
      <c r="D100" s="19" t="s">
        <v>470</v>
      </c>
      <c r="E100" s="19" t="s">
        <v>122</v>
      </c>
      <c r="F100" s="21" t="n">
        <f aca="false">SUM(G100+M100+S100+Y100+AD100)</f>
        <v>5098.90858</v>
      </c>
      <c r="G100" s="21" t="n">
        <f aca="false">SUM(H100:L100)</f>
        <v>5098.90858</v>
      </c>
      <c r="H100" s="21"/>
      <c r="I100" s="21" t="n">
        <f aca="false">0+4589.01772</f>
        <v>4589.01772</v>
      </c>
      <c r="J100" s="21" t="n">
        <f aca="false">0+509.89086</f>
        <v>509.89086</v>
      </c>
      <c r="K100" s="21"/>
      <c r="L100" s="21"/>
      <c r="M100" s="21" t="n">
        <f aca="false">SUM(N100:R100)</f>
        <v>0</v>
      </c>
      <c r="N100" s="21"/>
      <c r="O100" s="21"/>
      <c r="P100" s="21"/>
      <c r="Q100" s="21"/>
      <c r="R100" s="21"/>
      <c r="S100" s="21" t="n">
        <f aca="false">SUM(T100:X100)</f>
        <v>0</v>
      </c>
      <c r="T100" s="21"/>
      <c r="U100" s="21"/>
      <c r="V100" s="21"/>
      <c r="W100" s="21"/>
      <c r="X100" s="21"/>
      <c r="Y100" s="21" t="n">
        <f aca="false">SUM(Z100:AC100)</f>
        <v>0</v>
      </c>
      <c r="Z100" s="21"/>
      <c r="AA100" s="21"/>
      <c r="AB100" s="21"/>
      <c r="AC100" s="21"/>
      <c r="AD100" s="21" t="n">
        <f aca="false">SUM(AE100:AH100)</f>
        <v>0</v>
      </c>
      <c r="AE100" s="21"/>
      <c r="AF100" s="21"/>
      <c r="AG100" s="21"/>
      <c r="AH100" s="21"/>
      <c r="AI100" s="22" t="s">
        <v>405</v>
      </c>
      <c r="AJ100" s="19"/>
      <c r="AK100" s="19" t="s">
        <v>23</v>
      </c>
      <c r="AL100" s="19" t="s">
        <v>471</v>
      </c>
      <c r="AM100" s="19" t="s">
        <v>472</v>
      </c>
      <c r="AN100" s="19" t="s">
        <v>122</v>
      </c>
      <c r="AO100" s="19" t="s">
        <v>454</v>
      </c>
      <c r="AP100" s="19" t="s">
        <v>155</v>
      </c>
      <c r="AQ100" s="19" t="s">
        <v>155</v>
      </c>
      <c r="AR100" s="19"/>
      <c r="AS100" s="19" t="s">
        <v>157</v>
      </c>
      <c r="AT100" s="19" t="s">
        <v>71</v>
      </c>
      <c r="AU100" s="19"/>
    </row>
    <row r="101" customFormat="false" ht="99.75" hidden="false" customHeight="true" outlineLevel="0" collapsed="false">
      <c r="A101" s="19" t="s">
        <v>473</v>
      </c>
      <c r="B101" s="19" t="s">
        <v>402</v>
      </c>
      <c r="C101" s="19" t="s">
        <v>403</v>
      </c>
      <c r="D101" s="19" t="s">
        <v>474</v>
      </c>
      <c r="E101" s="19" t="s">
        <v>122</v>
      </c>
      <c r="F101" s="21" t="n">
        <f aca="false">M101+S101+Y101+AE101</f>
        <v>113447.2</v>
      </c>
      <c r="G101" s="21" t="n">
        <f aca="false">SUM(H101:L101)</f>
        <v>0</v>
      </c>
      <c r="H101" s="21"/>
      <c r="I101" s="21"/>
      <c r="J101" s="21"/>
      <c r="K101" s="21"/>
      <c r="L101" s="21"/>
      <c r="M101" s="21" t="n">
        <f aca="false">SUM(N101:R101)</f>
        <v>113447.2</v>
      </c>
      <c r="N101" s="52" t="n">
        <f aca="false">0+112312.7</f>
        <v>112312.7</v>
      </c>
      <c r="O101" s="21" t="n">
        <f aca="false">0+1134.5</f>
        <v>1134.5</v>
      </c>
      <c r="P101" s="52"/>
      <c r="Q101" s="21"/>
      <c r="R101" s="21"/>
      <c r="S101" s="21" t="n">
        <f aca="false">SUM(T101:X101)</f>
        <v>0</v>
      </c>
      <c r="T101" s="21"/>
      <c r="U101" s="21"/>
      <c r="V101" s="21"/>
      <c r="W101" s="21"/>
      <c r="X101" s="21"/>
      <c r="Y101" s="21" t="n">
        <f aca="false">SUM(Z101:AD101)</f>
        <v>0</v>
      </c>
      <c r="Z101" s="21"/>
      <c r="AA101" s="21"/>
      <c r="AB101" s="21"/>
      <c r="AC101" s="21"/>
      <c r="AD101" s="21" t="n">
        <f aca="false">SUM(AE101:AH101)</f>
        <v>0</v>
      </c>
      <c r="AE101" s="21"/>
      <c r="AF101" s="21"/>
      <c r="AG101" s="21"/>
      <c r="AH101" s="21"/>
      <c r="AI101" s="22" t="s">
        <v>405</v>
      </c>
      <c r="AJ101" s="53" t="s">
        <v>24</v>
      </c>
      <c r="AK101" s="51"/>
      <c r="AL101" s="54" t="s">
        <v>364</v>
      </c>
      <c r="AM101" s="61" t="s">
        <v>472</v>
      </c>
      <c r="AN101" s="19" t="s">
        <v>415</v>
      </c>
      <c r="AO101" s="19" t="s">
        <v>454</v>
      </c>
      <c r="AP101" s="19" t="s">
        <v>407</v>
      </c>
      <c r="AQ101" s="62" t="s">
        <v>155</v>
      </c>
      <c r="AR101" s="63" t="s">
        <v>475</v>
      </c>
      <c r="AS101" s="54" t="s">
        <v>417</v>
      </c>
      <c r="AT101" s="51" t="s">
        <v>418</v>
      </c>
      <c r="AU101" s="19"/>
    </row>
    <row r="102" customFormat="false" ht="120" hidden="false" customHeight="true" outlineLevel="0" collapsed="false">
      <c r="A102" s="19" t="s">
        <v>476</v>
      </c>
      <c r="B102" s="19" t="s">
        <v>402</v>
      </c>
      <c r="C102" s="19" t="s">
        <v>403</v>
      </c>
      <c r="D102" s="19" t="s">
        <v>477</v>
      </c>
      <c r="E102" s="19" t="s">
        <v>74</v>
      </c>
      <c r="F102" s="21" t="n">
        <f aca="false">SUM(G102+M102+S102+Y102+AD102)</f>
        <v>68586.87669</v>
      </c>
      <c r="G102" s="21" t="n">
        <f aca="false">SUM(H102:L102)</f>
        <v>68586.87669</v>
      </c>
      <c r="H102" s="21"/>
      <c r="I102" s="21" t="n">
        <f aca="false">0+68586.87669</f>
        <v>68586.87669</v>
      </c>
      <c r="J102" s="21"/>
      <c r="K102" s="21"/>
      <c r="L102" s="21"/>
      <c r="M102" s="21" t="n">
        <f aca="false">SUM(N102:R102)</f>
        <v>0</v>
      </c>
      <c r="N102" s="21"/>
      <c r="O102" s="21"/>
      <c r="P102" s="21"/>
      <c r="Q102" s="21"/>
      <c r="R102" s="21"/>
      <c r="S102" s="21" t="n">
        <f aca="false">SUM(T102:X102)</f>
        <v>0</v>
      </c>
      <c r="T102" s="21"/>
      <c r="U102" s="21"/>
      <c r="V102" s="21"/>
      <c r="W102" s="21"/>
      <c r="X102" s="21"/>
      <c r="Y102" s="21" t="n">
        <f aca="false">SUM(Z102:AC102)</f>
        <v>0</v>
      </c>
      <c r="Z102" s="21"/>
      <c r="AA102" s="21"/>
      <c r="AB102" s="21"/>
      <c r="AC102" s="21"/>
      <c r="AD102" s="21" t="n">
        <f aca="false">SUM(AE102:AH102)</f>
        <v>0</v>
      </c>
      <c r="AE102" s="21"/>
      <c r="AF102" s="21"/>
      <c r="AG102" s="21"/>
      <c r="AH102" s="21"/>
      <c r="AI102" s="19" t="s">
        <v>430</v>
      </c>
      <c r="AJ102" s="19" t="s">
        <v>23</v>
      </c>
      <c r="AK102" s="19" t="s">
        <v>478</v>
      </c>
      <c r="AL102" s="19" t="s">
        <v>40</v>
      </c>
      <c r="AM102" s="19" t="s">
        <v>479</v>
      </c>
      <c r="AN102" s="19" t="s">
        <v>423</v>
      </c>
      <c r="AO102" s="19" t="s">
        <v>403</v>
      </c>
      <c r="AP102" s="19" t="s">
        <v>423</v>
      </c>
      <c r="AQ102" s="19" t="s">
        <v>423</v>
      </c>
      <c r="AR102" s="19" t="s">
        <v>480</v>
      </c>
      <c r="AS102" s="19" t="s">
        <v>44</v>
      </c>
      <c r="AT102" s="19" t="s">
        <v>96</v>
      </c>
      <c r="AU102" s="19" t="s">
        <v>481</v>
      </c>
    </row>
    <row r="103" customFormat="false" ht="99.75" hidden="false" customHeight="true" outlineLevel="0" collapsed="false">
      <c r="A103" s="19" t="s">
        <v>482</v>
      </c>
      <c r="B103" s="19" t="s">
        <v>402</v>
      </c>
      <c r="C103" s="19" t="s">
        <v>403</v>
      </c>
      <c r="D103" s="19" t="s">
        <v>483</v>
      </c>
      <c r="E103" s="19" t="s">
        <v>74</v>
      </c>
      <c r="F103" s="21" t="n">
        <f aca="false">SUM(G103+M103+S103+Y103+AD103)</f>
        <v>510002.29031</v>
      </c>
      <c r="G103" s="21" t="n">
        <f aca="false">SUM(H103:L103)</f>
        <v>510002.29031</v>
      </c>
      <c r="H103" s="21" t="n">
        <f aca="false">0+509782.70631</f>
        <v>509782.70631</v>
      </c>
      <c r="I103" s="21" t="n">
        <f aca="false">0+219.584</f>
        <v>219.584</v>
      </c>
      <c r="J103" s="21"/>
      <c r="K103" s="21"/>
      <c r="L103" s="21"/>
      <c r="M103" s="21" t="n">
        <f aca="false">SUM(N103:R103)</f>
        <v>0</v>
      </c>
      <c r="N103" s="21"/>
      <c r="O103" s="21"/>
      <c r="P103" s="21"/>
      <c r="Q103" s="21"/>
      <c r="R103" s="21"/>
      <c r="S103" s="21" t="n">
        <f aca="false">SUM(T103:X103)</f>
        <v>0</v>
      </c>
      <c r="T103" s="21"/>
      <c r="U103" s="21"/>
      <c r="V103" s="21"/>
      <c r="W103" s="21"/>
      <c r="X103" s="21"/>
      <c r="Y103" s="21" t="n">
        <f aca="false">SUM(Z103:AC103)</f>
        <v>0</v>
      </c>
      <c r="Z103" s="21"/>
      <c r="AA103" s="21"/>
      <c r="AB103" s="21"/>
      <c r="AC103" s="21"/>
      <c r="AD103" s="21" t="n">
        <f aca="false">SUM(AE103:AH103)</f>
        <v>0</v>
      </c>
      <c r="AE103" s="21"/>
      <c r="AF103" s="21"/>
      <c r="AG103" s="21"/>
      <c r="AH103" s="21"/>
      <c r="AI103" s="22" t="s">
        <v>405</v>
      </c>
      <c r="AJ103" s="19" t="s">
        <v>23</v>
      </c>
      <c r="AK103" s="19" t="s">
        <v>484</v>
      </c>
      <c r="AL103" s="19" t="s">
        <v>40</v>
      </c>
      <c r="AM103" s="19" t="s">
        <v>485</v>
      </c>
      <c r="AN103" s="19" t="s">
        <v>423</v>
      </c>
      <c r="AO103" s="19" t="s">
        <v>403</v>
      </c>
      <c r="AP103" s="19" t="s">
        <v>423</v>
      </c>
      <c r="AQ103" s="19" t="s">
        <v>423</v>
      </c>
      <c r="AR103" s="19" t="s">
        <v>486</v>
      </c>
      <c r="AS103" s="19" t="s">
        <v>44</v>
      </c>
      <c r="AT103" s="19" t="s">
        <v>96</v>
      </c>
      <c r="AU103" s="19" t="s">
        <v>487</v>
      </c>
    </row>
    <row r="104" customFormat="false" ht="99.75" hidden="false" customHeight="true" outlineLevel="0" collapsed="false">
      <c r="A104" s="19" t="s">
        <v>488</v>
      </c>
      <c r="B104" s="19" t="s">
        <v>402</v>
      </c>
      <c r="C104" s="19" t="s">
        <v>403</v>
      </c>
      <c r="D104" s="19" t="s">
        <v>489</v>
      </c>
      <c r="E104" s="19" t="s">
        <v>74</v>
      </c>
      <c r="F104" s="21" t="n">
        <f aca="false">SUM(G104+M104+S104+Y104+AD104)</f>
        <v>108209.86886</v>
      </c>
      <c r="G104" s="21" t="n">
        <f aca="false">SUM(H104:L104)</f>
        <v>108209.86886</v>
      </c>
      <c r="H104" s="21" t="n">
        <f aca="false">0+106450.43616</f>
        <v>106450.43616</v>
      </c>
      <c r="I104" s="21" t="n">
        <f aca="false">0+1759.4327</f>
        <v>1759.4327</v>
      </c>
      <c r="J104" s="21"/>
      <c r="K104" s="21"/>
      <c r="L104" s="21"/>
      <c r="M104" s="21" t="n">
        <f aca="false">SUM(N104:R104)</f>
        <v>0</v>
      </c>
      <c r="N104" s="21"/>
      <c r="O104" s="21"/>
      <c r="P104" s="21"/>
      <c r="Q104" s="21"/>
      <c r="R104" s="21"/>
      <c r="S104" s="21" t="n">
        <f aca="false">SUM(T104:X104)</f>
        <v>0</v>
      </c>
      <c r="T104" s="21"/>
      <c r="U104" s="21"/>
      <c r="V104" s="21"/>
      <c r="W104" s="21"/>
      <c r="X104" s="21"/>
      <c r="Y104" s="21" t="n">
        <f aca="false">SUM(Z104:AC104)</f>
        <v>0</v>
      </c>
      <c r="Z104" s="21"/>
      <c r="AA104" s="21"/>
      <c r="AB104" s="21"/>
      <c r="AC104" s="21"/>
      <c r="AD104" s="21" t="n">
        <f aca="false">SUM(AE104:AH104)</f>
        <v>0</v>
      </c>
      <c r="AE104" s="21"/>
      <c r="AF104" s="21"/>
      <c r="AG104" s="21"/>
      <c r="AH104" s="21"/>
      <c r="AI104" s="22" t="s">
        <v>405</v>
      </c>
      <c r="AJ104" s="19" t="s">
        <v>23</v>
      </c>
      <c r="AK104" s="19" t="s">
        <v>484</v>
      </c>
      <c r="AL104" s="19" t="s">
        <v>40</v>
      </c>
      <c r="AM104" s="19" t="s">
        <v>490</v>
      </c>
      <c r="AN104" s="19" t="s">
        <v>423</v>
      </c>
      <c r="AO104" s="19" t="s">
        <v>403</v>
      </c>
      <c r="AP104" s="19" t="s">
        <v>423</v>
      </c>
      <c r="AQ104" s="19" t="s">
        <v>423</v>
      </c>
      <c r="AR104" s="19" t="s">
        <v>491</v>
      </c>
      <c r="AS104" s="19" t="s">
        <v>44</v>
      </c>
      <c r="AT104" s="19" t="s">
        <v>96</v>
      </c>
      <c r="AU104" s="19" t="s">
        <v>492</v>
      </c>
    </row>
    <row r="105" customFormat="false" ht="99.75" hidden="false" customHeight="true" outlineLevel="0" collapsed="false">
      <c r="A105" s="19" t="s">
        <v>493</v>
      </c>
      <c r="B105" s="19" t="s">
        <v>402</v>
      </c>
      <c r="C105" s="19" t="s">
        <v>403</v>
      </c>
      <c r="D105" s="19" t="s">
        <v>494</v>
      </c>
      <c r="E105" s="19" t="s">
        <v>122</v>
      </c>
      <c r="F105" s="21" t="n">
        <f aca="false">SUM(G105+M105+S105+Y105+AD105)</f>
        <v>1111.11111</v>
      </c>
      <c r="G105" s="21" t="n">
        <f aca="false">SUM(H105:L105)</f>
        <v>1111.11111</v>
      </c>
      <c r="H105" s="21"/>
      <c r="I105" s="21" t="n">
        <f aca="false">0+50000-49000</f>
        <v>1000</v>
      </c>
      <c r="J105" s="21" t="n">
        <f aca="false">0+5000-4888.88889</f>
        <v>111.11111</v>
      </c>
      <c r="K105" s="21"/>
      <c r="L105" s="21"/>
      <c r="M105" s="21" t="n">
        <f aca="false">SUM(N105:R105)</f>
        <v>0</v>
      </c>
      <c r="N105" s="21"/>
      <c r="O105" s="21"/>
      <c r="P105" s="21"/>
      <c r="Q105" s="21"/>
      <c r="R105" s="21"/>
      <c r="S105" s="21" t="n">
        <f aca="false">SUM(T105:X105)</f>
        <v>0</v>
      </c>
      <c r="T105" s="21"/>
      <c r="U105" s="21"/>
      <c r="V105" s="21"/>
      <c r="W105" s="21"/>
      <c r="X105" s="21"/>
      <c r="Y105" s="21" t="n">
        <f aca="false">SUM(Z105:AC105)</f>
        <v>0</v>
      </c>
      <c r="Z105" s="21"/>
      <c r="AA105" s="21"/>
      <c r="AB105" s="21"/>
      <c r="AC105" s="21"/>
      <c r="AD105" s="21" t="n">
        <f aca="false">SUM(AE105:AH105)</f>
        <v>0</v>
      </c>
      <c r="AE105" s="21"/>
      <c r="AF105" s="21"/>
      <c r="AG105" s="21"/>
      <c r="AH105" s="21"/>
      <c r="AI105" s="22" t="s">
        <v>405</v>
      </c>
      <c r="AJ105" s="19" t="s">
        <v>26</v>
      </c>
      <c r="AK105" s="19" t="s">
        <v>61</v>
      </c>
      <c r="AL105" s="19" t="s">
        <v>471</v>
      </c>
      <c r="AM105" s="19" t="s">
        <v>495</v>
      </c>
      <c r="AN105" s="19" t="s">
        <v>122</v>
      </c>
      <c r="AO105" s="19" t="s">
        <v>403</v>
      </c>
      <c r="AP105" s="19" t="s">
        <v>407</v>
      </c>
      <c r="AQ105" s="19" t="s">
        <v>155</v>
      </c>
      <c r="AR105" s="19" t="s">
        <v>496</v>
      </c>
      <c r="AS105" s="19" t="s">
        <v>157</v>
      </c>
      <c r="AT105" s="19" t="s">
        <v>45</v>
      </c>
      <c r="AU105" s="19" t="s">
        <v>497</v>
      </c>
    </row>
    <row r="106" customFormat="false" ht="126" hidden="false" customHeight="true" outlineLevel="0" collapsed="false">
      <c r="A106" s="19" t="s">
        <v>498</v>
      </c>
      <c r="B106" s="19" t="s">
        <v>402</v>
      </c>
      <c r="C106" s="19" t="s">
        <v>403</v>
      </c>
      <c r="D106" s="19" t="s">
        <v>499</v>
      </c>
      <c r="E106" s="19" t="s">
        <v>122</v>
      </c>
      <c r="F106" s="21" t="n">
        <f aca="false">SUM(G106+M106+S106+Y106+AD106)</f>
        <v>5473.2658</v>
      </c>
      <c r="G106" s="21" t="n">
        <f aca="false">SUM(H106:L106)</f>
        <v>5473.2658</v>
      </c>
      <c r="H106" s="21"/>
      <c r="I106" s="21" t="n">
        <f aca="false">0+4925.93922</f>
        <v>4925.93922</v>
      </c>
      <c r="J106" s="21" t="n">
        <f aca="false">0+547.32658</f>
        <v>547.32658</v>
      </c>
      <c r="K106" s="21"/>
      <c r="L106" s="21"/>
      <c r="M106" s="21" t="n">
        <f aca="false">SUM(N106:R106)</f>
        <v>0</v>
      </c>
      <c r="N106" s="21"/>
      <c r="O106" s="21"/>
      <c r="P106" s="21"/>
      <c r="Q106" s="21"/>
      <c r="R106" s="21"/>
      <c r="S106" s="21" t="n">
        <f aca="false">SUM(T106:X106)</f>
        <v>0</v>
      </c>
      <c r="T106" s="21"/>
      <c r="U106" s="21"/>
      <c r="V106" s="21"/>
      <c r="W106" s="21"/>
      <c r="X106" s="21"/>
      <c r="Y106" s="21" t="n">
        <f aca="false">SUM(Z106:AC106)</f>
        <v>0</v>
      </c>
      <c r="Z106" s="21"/>
      <c r="AA106" s="21"/>
      <c r="AB106" s="21"/>
      <c r="AC106" s="21"/>
      <c r="AD106" s="21" t="n">
        <f aca="false">SUM(AE106:AH106)</f>
        <v>0</v>
      </c>
      <c r="AE106" s="21"/>
      <c r="AF106" s="21"/>
      <c r="AG106" s="21"/>
      <c r="AH106" s="21"/>
      <c r="AI106" s="22" t="s">
        <v>405</v>
      </c>
      <c r="AJ106" s="54" t="s">
        <v>24</v>
      </c>
      <c r="AK106" s="54" t="s">
        <v>23</v>
      </c>
      <c r="AL106" s="54" t="s">
        <v>364</v>
      </c>
      <c r="AM106" s="54" t="s">
        <v>500</v>
      </c>
      <c r="AN106" s="19" t="s">
        <v>415</v>
      </c>
      <c r="AO106" s="19" t="s">
        <v>155</v>
      </c>
      <c r="AP106" s="19" t="s">
        <v>407</v>
      </c>
      <c r="AQ106" s="62" t="s">
        <v>155</v>
      </c>
      <c r="AR106" s="64" t="s">
        <v>501</v>
      </c>
      <c r="AS106" s="65" t="s">
        <v>417</v>
      </c>
      <c r="AT106" s="65" t="s">
        <v>71</v>
      </c>
      <c r="AU106" s="65"/>
    </row>
    <row r="107" customFormat="false" ht="129.75" hidden="false" customHeight="true" outlineLevel="0" collapsed="false">
      <c r="A107" s="19" t="s">
        <v>502</v>
      </c>
      <c r="B107" s="19" t="s">
        <v>402</v>
      </c>
      <c r="C107" s="19" t="s">
        <v>403</v>
      </c>
      <c r="D107" s="19" t="s">
        <v>503</v>
      </c>
      <c r="E107" s="19" t="s">
        <v>122</v>
      </c>
      <c r="F107" s="21" t="n">
        <f aca="false">SUM(G107+M107+S107+Y107+AD107)</f>
        <v>74700.06664</v>
      </c>
      <c r="G107" s="21" t="n">
        <f aca="false">SUM(H107:L107)</f>
        <v>74700.06664</v>
      </c>
      <c r="H107" s="21"/>
      <c r="I107" s="21" t="n">
        <f aca="false">0+18230.05998+49000</f>
        <v>67230.05998</v>
      </c>
      <c r="J107" s="21" t="n">
        <f aca="false">0+7470.00666</f>
        <v>7470.00666</v>
      </c>
      <c r="K107" s="21"/>
      <c r="L107" s="21"/>
      <c r="M107" s="21" t="n">
        <f aca="false">SUM(N107:R107)</f>
        <v>0</v>
      </c>
      <c r="N107" s="21"/>
      <c r="O107" s="21"/>
      <c r="P107" s="21"/>
      <c r="Q107" s="21"/>
      <c r="R107" s="21"/>
      <c r="S107" s="21" t="n">
        <f aca="false">SUM(T107:X107)</f>
        <v>0</v>
      </c>
      <c r="T107" s="21"/>
      <c r="U107" s="21"/>
      <c r="V107" s="21"/>
      <c r="W107" s="21"/>
      <c r="X107" s="21"/>
      <c r="Y107" s="21" t="n">
        <f aca="false">SUM(Z107:AC107)</f>
        <v>0</v>
      </c>
      <c r="Z107" s="21"/>
      <c r="AA107" s="21"/>
      <c r="AB107" s="21"/>
      <c r="AC107" s="21"/>
      <c r="AD107" s="21" t="n">
        <f aca="false">SUM(AE107:AH107)</f>
        <v>0</v>
      </c>
      <c r="AE107" s="21"/>
      <c r="AF107" s="21"/>
      <c r="AG107" s="21"/>
      <c r="AH107" s="21"/>
      <c r="AI107" s="22" t="s">
        <v>405</v>
      </c>
      <c r="AJ107" s="19" t="s">
        <v>23</v>
      </c>
      <c r="AK107" s="19"/>
      <c r="AL107" s="54" t="s">
        <v>364</v>
      </c>
      <c r="AM107" s="19" t="s">
        <v>504</v>
      </c>
      <c r="AN107" s="19" t="s">
        <v>415</v>
      </c>
      <c r="AO107" s="19" t="s">
        <v>155</v>
      </c>
      <c r="AP107" s="19" t="s">
        <v>407</v>
      </c>
      <c r="AQ107" s="62" t="s">
        <v>155</v>
      </c>
      <c r="AR107" s="31" t="s">
        <v>505</v>
      </c>
      <c r="AS107" s="65" t="s">
        <v>417</v>
      </c>
      <c r="AT107" s="19" t="s">
        <v>45</v>
      </c>
      <c r="AU107" s="19" t="s">
        <v>506</v>
      </c>
    </row>
    <row r="108" customFormat="false" ht="135" hidden="false" customHeight="true" outlineLevel="0" collapsed="false">
      <c r="A108" s="19" t="s">
        <v>507</v>
      </c>
      <c r="B108" s="19" t="s">
        <v>508</v>
      </c>
      <c r="C108" s="19" t="s">
        <v>509</v>
      </c>
      <c r="D108" s="19" t="s">
        <v>510</v>
      </c>
      <c r="E108" s="19" t="s">
        <v>511</v>
      </c>
      <c r="F108" s="21" t="n">
        <f aca="false">SUM(G108+M108+S108+Y108+AD108)</f>
        <v>20000</v>
      </c>
      <c r="G108" s="21" t="n">
        <f aca="false">SUM(H108:L108)</f>
        <v>10000</v>
      </c>
      <c r="H108" s="21"/>
      <c r="I108" s="21" t="n">
        <f aca="false">4978.43234+5021.56766</f>
        <v>10000</v>
      </c>
      <c r="J108" s="21"/>
      <c r="K108" s="30"/>
      <c r="L108" s="21"/>
      <c r="M108" s="21" t="n">
        <f aca="false">SUM(N108:R108)</f>
        <v>10000</v>
      </c>
      <c r="N108" s="21"/>
      <c r="O108" s="21" t="n">
        <f aca="false">0+10000</f>
        <v>10000</v>
      </c>
      <c r="P108" s="21"/>
      <c r="Q108" s="21"/>
      <c r="R108" s="21"/>
      <c r="S108" s="21" t="n">
        <f aca="false">SUM(T108:X108)</f>
        <v>0</v>
      </c>
      <c r="T108" s="21"/>
      <c r="U108" s="21"/>
      <c r="V108" s="21"/>
      <c r="W108" s="21"/>
      <c r="X108" s="21"/>
      <c r="Y108" s="21" t="n">
        <f aca="false">SUM(Z108:AC108)</f>
        <v>0</v>
      </c>
      <c r="Z108" s="21"/>
      <c r="AA108" s="21"/>
      <c r="AB108" s="21"/>
      <c r="AC108" s="21"/>
      <c r="AD108" s="21" t="n">
        <f aca="false">SUM(AE108:AH108)</f>
        <v>0</v>
      </c>
      <c r="AE108" s="21"/>
      <c r="AF108" s="21"/>
      <c r="AG108" s="21"/>
      <c r="AH108" s="21"/>
      <c r="AI108" s="22" t="s">
        <v>512</v>
      </c>
      <c r="AJ108" s="19"/>
      <c r="AK108" s="19" t="s">
        <v>24</v>
      </c>
      <c r="AL108" s="19" t="s">
        <v>40</v>
      </c>
      <c r="AM108" s="66" t="s">
        <v>513</v>
      </c>
      <c r="AN108" s="19" t="s">
        <v>514</v>
      </c>
      <c r="AO108" s="19" t="s">
        <v>509</v>
      </c>
      <c r="AP108" s="19" t="s">
        <v>514</v>
      </c>
      <c r="AQ108" s="19" t="s">
        <v>514</v>
      </c>
      <c r="AR108" s="19"/>
      <c r="AS108" s="19" t="s">
        <v>44</v>
      </c>
      <c r="AT108" s="19" t="s">
        <v>71</v>
      </c>
      <c r="AU108" s="19"/>
    </row>
    <row r="109" customFormat="false" ht="150" hidden="false" customHeight="true" outlineLevel="0" collapsed="false">
      <c r="A109" s="19" t="s">
        <v>515</v>
      </c>
      <c r="B109" s="19" t="s">
        <v>508</v>
      </c>
      <c r="C109" s="19" t="s">
        <v>509</v>
      </c>
      <c r="D109" s="19" t="s">
        <v>516</v>
      </c>
      <c r="E109" s="19" t="s">
        <v>517</v>
      </c>
      <c r="F109" s="21" t="n">
        <f aca="false">SUM(G109+M109+S109+Y109+AD109)</f>
        <v>94554.376</v>
      </c>
      <c r="G109" s="21" t="n">
        <f aca="false">SUM(H109:L109)</f>
        <v>30233.471</v>
      </c>
      <c r="H109" s="21"/>
      <c r="I109" s="21" t="n">
        <v>30233.471</v>
      </c>
      <c r="J109" s="21"/>
      <c r="K109" s="21"/>
      <c r="L109" s="21"/>
      <c r="M109" s="21" t="n">
        <f aca="false">SUM(N109:R109)</f>
        <v>64320.905</v>
      </c>
      <c r="N109" s="21"/>
      <c r="O109" s="21" t="n">
        <v>64320.905</v>
      </c>
      <c r="P109" s="21"/>
      <c r="Q109" s="30"/>
      <c r="R109" s="21"/>
      <c r="S109" s="21" t="n">
        <f aca="false">SUM(T109:X109)</f>
        <v>0</v>
      </c>
      <c r="T109" s="21"/>
      <c r="U109" s="21"/>
      <c r="V109" s="21"/>
      <c r="W109" s="21"/>
      <c r="X109" s="21"/>
      <c r="Y109" s="21" t="n">
        <f aca="false">SUM(Z109:AC109)</f>
        <v>0</v>
      </c>
      <c r="Z109" s="21"/>
      <c r="AA109" s="21"/>
      <c r="AB109" s="21"/>
      <c r="AC109" s="21"/>
      <c r="AD109" s="21" t="n">
        <f aca="false">SUM(AE109:AH109)</f>
        <v>0</v>
      </c>
      <c r="AE109" s="21"/>
      <c r="AF109" s="21"/>
      <c r="AG109" s="21"/>
      <c r="AH109" s="21"/>
      <c r="AI109" s="22" t="s">
        <v>512</v>
      </c>
      <c r="AJ109" s="19" t="s">
        <v>24</v>
      </c>
      <c r="AK109" s="19"/>
      <c r="AL109" s="19" t="s">
        <v>40</v>
      </c>
      <c r="AM109" s="19" t="s">
        <v>513</v>
      </c>
      <c r="AN109" s="19" t="s">
        <v>514</v>
      </c>
      <c r="AO109" s="19" t="s">
        <v>509</v>
      </c>
      <c r="AP109" s="19" t="s">
        <v>514</v>
      </c>
      <c r="AQ109" s="19" t="s">
        <v>514</v>
      </c>
      <c r="AR109" s="19" t="s">
        <v>518</v>
      </c>
      <c r="AS109" s="19" t="s">
        <v>44</v>
      </c>
      <c r="AT109" s="19" t="s">
        <v>45</v>
      </c>
      <c r="AU109" s="19" t="s">
        <v>519</v>
      </c>
    </row>
    <row r="110" customFormat="false" ht="132.75" hidden="false" customHeight="true" outlineLevel="0" collapsed="false">
      <c r="A110" s="19" t="s">
        <v>520</v>
      </c>
      <c r="B110" s="19" t="s">
        <v>508</v>
      </c>
      <c r="C110" s="19" t="s">
        <v>509</v>
      </c>
      <c r="D110" s="19" t="s">
        <v>521</v>
      </c>
      <c r="E110" s="19" t="s">
        <v>310</v>
      </c>
      <c r="F110" s="21" t="n">
        <f aca="false">SUM(G110+M110+S110+Y110+AD110)</f>
        <v>883.00103</v>
      </c>
      <c r="G110" s="21" t="n">
        <f aca="false">SUM(H110:L110)</f>
        <v>883.00103</v>
      </c>
      <c r="H110" s="21"/>
      <c r="I110" s="21" t="n">
        <f aca="false">356.93577+472.57768+53.48758</f>
        <v>883.00103</v>
      </c>
      <c r="J110" s="21"/>
      <c r="K110" s="21"/>
      <c r="L110" s="21"/>
      <c r="M110" s="21" t="n">
        <f aca="false">SUM(N110:R110)</f>
        <v>0</v>
      </c>
      <c r="N110" s="21"/>
      <c r="O110" s="21"/>
      <c r="P110" s="21"/>
      <c r="Q110" s="21"/>
      <c r="R110" s="21"/>
      <c r="S110" s="21" t="n">
        <f aca="false">SUM(T110:X110)</f>
        <v>0</v>
      </c>
      <c r="T110" s="21"/>
      <c r="U110" s="21"/>
      <c r="V110" s="21"/>
      <c r="W110" s="21"/>
      <c r="X110" s="21"/>
      <c r="Y110" s="21" t="n">
        <f aca="false">SUM(Z110:AC110)</f>
        <v>0</v>
      </c>
      <c r="Z110" s="21"/>
      <c r="AA110" s="21"/>
      <c r="AB110" s="21"/>
      <c r="AC110" s="21"/>
      <c r="AD110" s="21" t="n">
        <f aca="false">SUM(AE110:AH110)</f>
        <v>0</v>
      </c>
      <c r="AE110" s="21"/>
      <c r="AF110" s="21"/>
      <c r="AG110" s="21"/>
      <c r="AH110" s="21"/>
      <c r="AI110" s="22" t="s">
        <v>512</v>
      </c>
      <c r="AJ110" s="19"/>
      <c r="AK110" s="19" t="s">
        <v>23</v>
      </c>
      <c r="AL110" s="19" t="s">
        <v>40</v>
      </c>
      <c r="AM110" s="19" t="s">
        <v>522</v>
      </c>
      <c r="AN110" s="19" t="s">
        <v>523</v>
      </c>
      <c r="AO110" s="19" t="s">
        <v>509</v>
      </c>
      <c r="AP110" s="19" t="s">
        <v>509</v>
      </c>
      <c r="AQ110" s="19" t="s">
        <v>523</v>
      </c>
      <c r="AR110" s="19"/>
      <c r="AS110" s="19" t="s">
        <v>44</v>
      </c>
      <c r="AT110" s="19" t="s">
        <v>524</v>
      </c>
      <c r="AU110" s="19"/>
    </row>
    <row r="111" customFormat="false" ht="109.5" hidden="false" customHeight="true" outlineLevel="0" collapsed="false">
      <c r="A111" s="19" t="s">
        <v>525</v>
      </c>
      <c r="B111" s="19" t="s">
        <v>526</v>
      </c>
      <c r="C111" s="19" t="s">
        <v>265</v>
      </c>
      <c r="D111" s="19" t="s">
        <v>527</v>
      </c>
      <c r="E111" s="19" t="s">
        <v>528</v>
      </c>
      <c r="F111" s="21" t="n">
        <f aca="false">SUM(G111+M111+S111+Y111+AD111)</f>
        <v>16239.71587</v>
      </c>
      <c r="G111" s="21" t="n">
        <f aca="false">SUM(H111:L111)</f>
        <v>16239.71587</v>
      </c>
      <c r="H111" s="21"/>
      <c r="I111" s="21" t="n">
        <v>16223.47615</v>
      </c>
      <c r="J111" s="21" t="n">
        <v>16.23972</v>
      </c>
      <c r="K111" s="21"/>
      <c r="L111" s="21"/>
      <c r="M111" s="21" t="n">
        <f aca="false">SUM(N111:R111)</f>
        <v>0</v>
      </c>
      <c r="N111" s="21"/>
      <c r="O111" s="21"/>
      <c r="P111" s="21"/>
      <c r="Q111" s="21"/>
      <c r="R111" s="21"/>
      <c r="S111" s="21" t="n">
        <f aca="false">SUM(T111:X111)</f>
        <v>0</v>
      </c>
      <c r="T111" s="21"/>
      <c r="U111" s="21"/>
      <c r="V111" s="21"/>
      <c r="W111" s="21"/>
      <c r="X111" s="21"/>
      <c r="Y111" s="21" t="n">
        <f aca="false">SUM(Z111:AC111)</f>
        <v>0</v>
      </c>
      <c r="Z111" s="21"/>
      <c r="AA111" s="21"/>
      <c r="AB111" s="21"/>
      <c r="AC111" s="21"/>
      <c r="AD111" s="21" t="n">
        <f aca="false">SUM(AE111:AH111)</f>
        <v>0</v>
      </c>
      <c r="AE111" s="21"/>
      <c r="AF111" s="21"/>
      <c r="AG111" s="21"/>
      <c r="AH111" s="21"/>
      <c r="AI111" s="19" t="s">
        <v>529</v>
      </c>
      <c r="AJ111" s="19"/>
      <c r="AK111" s="19" t="s">
        <v>23</v>
      </c>
      <c r="AL111" s="19" t="s">
        <v>152</v>
      </c>
      <c r="AM111" s="19" t="s">
        <v>530</v>
      </c>
      <c r="AN111" s="19" t="s">
        <v>139</v>
      </c>
      <c r="AO111" s="19" t="s">
        <v>265</v>
      </c>
      <c r="AP111" s="19" t="s">
        <v>361</v>
      </c>
      <c r="AQ111" s="19" t="s">
        <v>361</v>
      </c>
      <c r="AR111" s="67" t="s">
        <v>531</v>
      </c>
      <c r="AS111" s="19" t="s">
        <v>157</v>
      </c>
      <c r="AT111" s="19" t="s">
        <v>71</v>
      </c>
      <c r="AU111" s="19"/>
    </row>
    <row r="112" customFormat="false" ht="99.75" hidden="false" customHeight="true" outlineLevel="0" collapsed="false">
      <c r="A112" s="19" t="s">
        <v>532</v>
      </c>
      <c r="B112" s="19" t="s">
        <v>526</v>
      </c>
      <c r="C112" s="19" t="s">
        <v>265</v>
      </c>
      <c r="D112" s="19" t="s">
        <v>533</v>
      </c>
      <c r="E112" s="26" t="s">
        <v>60</v>
      </c>
      <c r="F112" s="21" t="n">
        <f aca="false">SUM(G112+M112+S112+Y112+AD112)</f>
        <v>30000</v>
      </c>
      <c r="G112" s="21" t="n">
        <f aca="false">SUM(H112:L112)</f>
        <v>30000</v>
      </c>
      <c r="H112" s="21"/>
      <c r="I112" s="21" t="n">
        <v>30000</v>
      </c>
      <c r="J112" s="21"/>
      <c r="K112" s="21"/>
      <c r="L112" s="21"/>
      <c r="M112" s="21" t="n">
        <f aca="false">SUM(N112:R112)</f>
        <v>0</v>
      </c>
      <c r="N112" s="21"/>
      <c r="O112" s="21"/>
      <c r="P112" s="21"/>
      <c r="Q112" s="21"/>
      <c r="R112" s="21"/>
      <c r="S112" s="21" t="n">
        <f aca="false">SUM(T112:X112)</f>
        <v>0</v>
      </c>
      <c r="T112" s="21"/>
      <c r="U112" s="21"/>
      <c r="V112" s="21"/>
      <c r="W112" s="21"/>
      <c r="X112" s="21"/>
      <c r="Y112" s="21" t="n">
        <f aca="false">SUM(Z112:AC112)</f>
        <v>0</v>
      </c>
      <c r="Z112" s="21"/>
      <c r="AA112" s="21"/>
      <c r="AB112" s="21"/>
      <c r="AC112" s="21"/>
      <c r="AD112" s="21" t="n">
        <f aca="false">SUM(AE112:AH112)</f>
        <v>0</v>
      </c>
      <c r="AE112" s="21"/>
      <c r="AF112" s="21"/>
      <c r="AG112" s="21"/>
      <c r="AH112" s="21"/>
      <c r="AI112" s="26" t="s">
        <v>529</v>
      </c>
      <c r="AJ112" s="26" t="s">
        <v>25</v>
      </c>
      <c r="AK112" s="26" t="s">
        <v>23</v>
      </c>
      <c r="AL112" s="26" t="s">
        <v>352</v>
      </c>
      <c r="AM112" s="26" t="s">
        <v>534</v>
      </c>
      <c r="AN112" s="26" t="s">
        <v>265</v>
      </c>
      <c r="AO112" s="26" t="s">
        <v>265</v>
      </c>
      <c r="AP112" s="19" t="s">
        <v>535</v>
      </c>
      <c r="AQ112" s="19" t="s">
        <v>535</v>
      </c>
      <c r="AR112" s="68" t="s">
        <v>536</v>
      </c>
      <c r="AS112" s="19" t="s">
        <v>44</v>
      </c>
      <c r="AT112" s="26" t="s">
        <v>71</v>
      </c>
      <c r="AU112" s="26"/>
    </row>
    <row r="113" customFormat="false" ht="99.75" hidden="false" customHeight="true" outlineLevel="0" collapsed="false">
      <c r="A113" s="19" t="s">
        <v>537</v>
      </c>
      <c r="B113" s="19" t="s">
        <v>538</v>
      </c>
      <c r="C113" s="19" t="s">
        <v>241</v>
      </c>
      <c r="D113" s="19" t="s">
        <v>539</v>
      </c>
      <c r="E113" s="19" t="s">
        <v>122</v>
      </c>
      <c r="F113" s="21" t="n">
        <f aca="false">SUM(G113+M113+S113+Y113+AD113)</f>
        <v>18880</v>
      </c>
      <c r="G113" s="21" t="n">
        <f aca="false">SUM(H113:L113)</f>
        <v>18880</v>
      </c>
      <c r="H113" s="21"/>
      <c r="I113" s="21" t="n">
        <f aca="false">49144-97-12500-17667</f>
        <v>18880</v>
      </c>
      <c r="J113" s="21"/>
      <c r="K113" s="21"/>
      <c r="L113" s="21"/>
      <c r="M113" s="21" t="n">
        <f aca="false">SUM(N113:R113)</f>
        <v>0</v>
      </c>
      <c r="N113" s="21"/>
      <c r="O113" s="21"/>
      <c r="P113" s="21"/>
      <c r="Q113" s="21"/>
      <c r="R113" s="21"/>
      <c r="S113" s="21" t="n">
        <f aca="false">SUM(T113:X113)</f>
        <v>0</v>
      </c>
      <c r="T113" s="21"/>
      <c r="U113" s="21"/>
      <c r="V113" s="21"/>
      <c r="W113" s="21"/>
      <c r="X113" s="21"/>
      <c r="Y113" s="21" t="n">
        <f aca="false">SUM(Z113:AC113)</f>
        <v>0</v>
      </c>
      <c r="Z113" s="21"/>
      <c r="AA113" s="21"/>
      <c r="AB113" s="21"/>
      <c r="AC113" s="21"/>
      <c r="AD113" s="21" t="n">
        <f aca="false">SUM(AE113:AH113)</f>
        <v>0</v>
      </c>
      <c r="AE113" s="21"/>
      <c r="AF113" s="21"/>
      <c r="AG113" s="21"/>
      <c r="AH113" s="21"/>
      <c r="AI113" s="22" t="s">
        <v>540</v>
      </c>
      <c r="AJ113" s="19" t="s">
        <v>23</v>
      </c>
      <c r="AK113" s="19"/>
      <c r="AL113" s="19" t="s">
        <v>541</v>
      </c>
      <c r="AM113" s="19"/>
      <c r="AN113" s="19" t="s">
        <v>241</v>
      </c>
      <c r="AO113" s="19" t="s">
        <v>36</v>
      </c>
      <c r="AP113" s="19" t="s">
        <v>241</v>
      </c>
      <c r="AQ113" s="19" t="s">
        <v>241</v>
      </c>
      <c r="AR113" s="19"/>
      <c r="AS113" s="19" t="s">
        <v>44</v>
      </c>
      <c r="AT113" s="19" t="s">
        <v>79</v>
      </c>
      <c r="AU113" s="19"/>
    </row>
    <row r="114" s="32" customFormat="true" ht="126.75" hidden="false" customHeight="true" outlineLevel="0" collapsed="false">
      <c r="A114" s="19" t="s">
        <v>542</v>
      </c>
      <c r="B114" s="19" t="s">
        <v>538</v>
      </c>
      <c r="C114" s="19" t="s">
        <v>36</v>
      </c>
      <c r="D114" s="19" t="s">
        <v>543</v>
      </c>
      <c r="E114" s="19" t="s">
        <v>122</v>
      </c>
      <c r="F114" s="21" t="n">
        <f aca="false">SUM(G114+M114+S114+Y114+AD114)</f>
        <v>1366436.30333667</v>
      </c>
      <c r="G114" s="21" t="n">
        <f aca="false">SUM(H114:L114)</f>
        <v>20202.07</v>
      </c>
      <c r="H114" s="21" t="n">
        <f aca="false">0+20000</f>
        <v>20000</v>
      </c>
      <c r="I114" s="21" t="n">
        <f aca="false">0+202.07</f>
        <v>202.07</v>
      </c>
      <c r="J114" s="21"/>
      <c r="K114" s="21"/>
      <c r="L114" s="21"/>
      <c r="M114" s="21" t="n">
        <f aca="false">SUM(N114:R114)</f>
        <v>693939.4</v>
      </c>
      <c r="N114" s="21" t="n">
        <f aca="false">0+687000</f>
        <v>687000</v>
      </c>
      <c r="O114" s="21" t="n">
        <f aca="false">0+6939.4</f>
        <v>6939.4</v>
      </c>
      <c r="P114" s="21"/>
      <c r="Q114" s="21"/>
      <c r="R114" s="21"/>
      <c r="S114" s="21" t="n">
        <f aca="false">SUM(T114:X114)</f>
        <v>202861.5</v>
      </c>
      <c r="T114" s="21" t="n">
        <f aca="false">0+178518.1</f>
        <v>178518.1</v>
      </c>
      <c r="U114" s="21" t="n">
        <f aca="false">0+24343.4</f>
        <v>24343.4</v>
      </c>
      <c r="V114" s="21"/>
      <c r="W114" s="21"/>
      <c r="X114" s="21"/>
      <c r="Y114" s="21" t="n">
        <f aca="false">SUM(Z114:AC114)</f>
        <v>89886.66667</v>
      </c>
      <c r="Z114" s="21" t="n">
        <f aca="false">0+88987.8</f>
        <v>88987.8</v>
      </c>
      <c r="AA114" s="21" t="n">
        <f aca="false">0+898.86667</f>
        <v>898.86667</v>
      </c>
      <c r="AB114" s="21"/>
      <c r="AC114" s="21"/>
      <c r="AD114" s="21" t="n">
        <f aca="false">SUM(AE114:AH114)</f>
        <v>359546.666666667</v>
      </c>
      <c r="AE114" s="21" t="n">
        <v>355951.2</v>
      </c>
      <c r="AF114" s="21" t="n">
        <v>3595.46666666667</v>
      </c>
      <c r="AG114" s="21"/>
      <c r="AH114" s="21"/>
      <c r="AI114" s="22" t="s">
        <v>544</v>
      </c>
      <c r="AJ114" s="19" t="s">
        <v>26</v>
      </c>
      <c r="AK114" s="19" t="s">
        <v>24</v>
      </c>
      <c r="AL114" s="23" t="s">
        <v>545</v>
      </c>
      <c r="AM114" s="19"/>
      <c r="AN114" s="19" t="s">
        <v>36</v>
      </c>
      <c r="AO114" s="19" t="s">
        <v>36</v>
      </c>
      <c r="AP114" s="19" t="s">
        <v>36</v>
      </c>
      <c r="AQ114" s="19" t="s">
        <v>36</v>
      </c>
      <c r="AR114" s="19"/>
      <c r="AS114" s="19" t="s">
        <v>44</v>
      </c>
      <c r="AT114" s="19" t="s">
        <v>45</v>
      </c>
      <c r="AU114" s="19"/>
    </row>
    <row r="115" customFormat="false" ht="99.75" hidden="false" customHeight="true" outlineLevel="0" collapsed="false">
      <c r="A115" s="19" t="s">
        <v>546</v>
      </c>
      <c r="B115" s="19" t="s">
        <v>547</v>
      </c>
      <c r="C115" s="19" t="s">
        <v>548</v>
      </c>
      <c r="D115" s="19" t="s">
        <v>549</v>
      </c>
      <c r="E115" s="19" t="s">
        <v>550</v>
      </c>
      <c r="F115" s="21" t="n">
        <f aca="false">SUM(G115+M115+S115+Y115+AD115)</f>
        <v>42602.97434</v>
      </c>
      <c r="G115" s="21" t="n">
        <f aca="false">SUM(H115:L115)</f>
        <v>42602.97434</v>
      </c>
      <c r="H115" s="21"/>
      <c r="I115" s="21" t="n">
        <f aca="false">18957.559-2979.79798</f>
        <v>15977.76102</v>
      </c>
      <c r="J115" s="21" t="n">
        <v>26625.21332</v>
      </c>
      <c r="K115" s="21"/>
      <c r="L115" s="21"/>
      <c r="M115" s="21" t="n">
        <f aca="false">SUM(N115:R115)</f>
        <v>0</v>
      </c>
      <c r="N115" s="21"/>
      <c r="O115" s="21"/>
      <c r="P115" s="21"/>
      <c r="Q115" s="21"/>
      <c r="R115" s="21"/>
      <c r="S115" s="21" t="n">
        <f aca="false">SUM(T115:X115)</f>
        <v>0</v>
      </c>
      <c r="T115" s="21"/>
      <c r="U115" s="21"/>
      <c r="V115" s="21"/>
      <c r="W115" s="21"/>
      <c r="X115" s="21"/>
      <c r="Y115" s="21" t="n">
        <f aca="false">SUM(Z115:AC115)</f>
        <v>0</v>
      </c>
      <c r="Z115" s="21"/>
      <c r="AA115" s="21"/>
      <c r="AB115" s="21"/>
      <c r="AC115" s="21"/>
      <c r="AD115" s="21" t="n">
        <f aca="false">SUM(AE115:AH115)</f>
        <v>0</v>
      </c>
      <c r="AE115" s="21"/>
      <c r="AF115" s="21"/>
      <c r="AG115" s="21"/>
      <c r="AH115" s="21"/>
      <c r="AI115" s="19" t="s">
        <v>551</v>
      </c>
      <c r="AJ115" s="19" t="s">
        <v>23</v>
      </c>
      <c r="AK115" s="19"/>
      <c r="AL115" s="19" t="s">
        <v>364</v>
      </c>
      <c r="AM115" s="19" t="s">
        <v>552</v>
      </c>
      <c r="AN115" s="19" t="s">
        <v>553</v>
      </c>
      <c r="AO115" s="19" t="s">
        <v>548</v>
      </c>
      <c r="AP115" s="19" t="s">
        <v>554</v>
      </c>
      <c r="AQ115" s="19" t="s">
        <v>554</v>
      </c>
      <c r="AR115" s="19" t="s">
        <v>555</v>
      </c>
      <c r="AS115" s="19" t="s">
        <v>157</v>
      </c>
      <c r="AT115" s="19" t="s">
        <v>96</v>
      </c>
      <c r="AU115" s="19" t="s">
        <v>556</v>
      </c>
    </row>
    <row r="116" customFormat="false" ht="99.75" hidden="false" customHeight="true" outlineLevel="0" collapsed="false">
      <c r="A116" s="19" t="s">
        <v>557</v>
      </c>
      <c r="B116" s="19" t="s">
        <v>547</v>
      </c>
      <c r="C116" s="19" t="s">
        <v>403</v>
      </c>
      <c r="D116" s="19" t="s">
        <v>558</v>
      </c>
      <c r="E116" s="19" t="s">
        <v>74</v>
      </c>
      <c r="F116" s="21" t="n">
        <f aca="false">SUM(G116+M116+S116+Y116+AD116)</f>
        <v>377530</v>
      </c>
      <c r="G116" s="21"/>
      <c r="H116" s="21"/>
      <c r="I116" s="21"/>
      <c r="J116" s="21"/>
      <c r="K116" s="21"/>
      <c r="L116" s="21"/>
      <c r="M116" s="21" t="n">
        <f aca="false">SUM(N116:R116)</f>
        <v>102523.3</v>
      </c>
      <c r="N116" s="21" t="n">
        <v>102523.3</v>
      </c>
      <c r="O116" s="21"/>
      <c r="P116" s="21"/>
      <c r="Q116" s="21"/>
      <c r="R116" s="21"/>
      <c r="S116" s="21" t="n">
        <f aca="false">SUM(T116:X116)</f>
        <v>275006.7</v>
      </c>
      <c r="T116" s="21" t="n">
        <v>275006.7</v>
      </c>
      <c r="U116" s="21"/>
      <c r="V116" s="21"/>
      <c r="W116" s="21"/>
      <c r="X116" s="21"/>
      <c r="Y116" s="21" t="n">
        <f aca="false">SUM(Z116:AC116)</f>
        <v>0</v>
      </c>
      <c r="Z116" s="21"/>
      <c r="AA116" s="21"/>
      <c r="AB116" s="21"/>
      <c r="AC116" s="21"/>
      <c r="AD116" s="21" t="n">
        <f aca="false">SUM(AE116:AH116)</f>
        <v>0</v>
      </c>
      <c r="AE116" s="21"/>
      <c r="AF116" s="21"/>
      <c r="AG116" s="21"/>
      <c r="AH116" s="21"/>
      <c r="AI116" s="22" t="s">
        <v>405</v>
      </c>
      <c r="AJ116" s="19" t="s">
        <v>25</v>
      </c>
      <c r="AK116" s="19"/>
      <c r="AL116" s="19" t="s">
        <v>40</v>
      </c>
      <c r="AM116" s="19" t="s">
        <v>559</v>
      </c>
      <c r="AN116" s="19" t="s">
        <v>423</v>
      </c>
      <c r="AO116" s="19" t="s">
        <v>548</v>
      </c>
      <c r="AP116" s="19" t="s">
        <v>423</v>
      </c>
      <c r="AQ116" s="19" t="s">
        <v>423</v>
      </c>
      <c r="AR116" s="19" t="s">
        <v>560</v>
      </c>
      <c r="AS116" s="19" t="s">
        <v>44</v>
      </c>
      <c r="AT116" s="19" t="s">
        <v>45</v>
      </c>
      <c r="AU116" s="19"/>
    </row>
    <row r="117" customFormat="false" ht="99.75" hidden="false" customHeight="true" outlineLevel="0" collapsed="false">
      <c r="A117" s="19" t="s">
        <v>561</v>
      </c>
      <c r="B117" s="19" t="s">
        <v>547</v>
      </c>
      <c r="C117" s="19" t="s">
        <v>403</v>
      </c>
      <c r="D117" s="19" t="s">
        <v>562</v>
      </c>
      <c r="E117" s="19" t="s">
        <v>550</v>
      </c>
      <c r="F117" s="21" t="n">
        <f aca="false">SUM(G117+M117+S117+Y117+AD117)</f>
        <v>300000</v>
      </c>
      <c r="G117" s="21"/>
      <c r="H117" s="21"/>
      <c r="I117" s="21"/>
      <c r="J117" s="21"/>
      <c r="K117" s="21"/>
      <c r="L117" s="21"/>
      <c r="M117" s="21" t="n">
        <f aca="false">SUM(N117:R117)</f>
        <v>100000</v>
      </c>
      <c r="N117" s="21" t="n">
        <v>100000</v>
      </c>
      <c r="O117" s="21"/>
      <c r="P117" s="21"/>
      <c r="Q117" s="21"/>
      <c r="R117" s="21"/>
      <c r="S117" s="21" t="n">
        <f aca="false">SUM(T117:X117)</f>
        <v>200000</v>
      </c>
      <c r="T117" s="21" t="n">
        <v>200000</v>
      </c>
      <c r="U117" s="21"/>
      <c r="V117" s="21"/>
      <c r="W117" s="21"/>
      <c r="X117" s="21"/>
      <c r="Y117" s="21" t="n">
        <f aca="false">SUM(Z117:AC117)</f>
        <v>0</v>
      </c>
      <c r="Z117" s="21"/>
      <c r="AA117" s="21"/>
      <c r="AB117" s="21"/>
      <c r="AC117" s="21"/>
      <c r="AD117" s="21" t="n">
        <f aca="false">SUM(AE117:AH117)</f>
        <v>0</v>
      </c>
      <c r="AE117" s="21"/>
      <c r="AF117" s="21"/>
      <c r="AG117" s="21"/>
      <c r="AH117" s="21"/>
      <c r="AI117" s="22" t="s">
        <v>405</v>
      </c>
      <c r="AJ117" s="19" t="s">
        <v>25</v>
      </c>
      <c r="AK117" s="19"/>
      <c r="AL117" s="19" t="s">
        <v>40</v>
      </c>
      <c r="AM117" s="19" t="s">
        <v>563</v>
      </c>
      <c r="AN117" s="19" t="s">
        <v>423</v>
      </c>
      <c r="AO117" s="19" t="s">
        <v>548</v>
      </c>
      <c r="AP117" s="19" t="s">
        <v>423</v>
      </c>
      <c r="AQ117" s="19" t="s">
        <v>423</v>
      </c>
      <c r="AR117" s="19" t="s">
        <v>564</v>
      </c>
      <c r="AS117" s="19" t="s">
        <v>44</v>
      </c>
      <c r="AT117" s="19" t="s">
        <v>45</v>
      </c>
      <c r="AU117" s="19" t="s">
        <v>565</v>
      </c>
    </row>
    <row r="118" customFormat="false" ht="99.75" hidden="false" customHeight="true" outlineLevel="0" collapsed="false">
      <c r="A118" s="19" t="s">
        <v>566</v>
      </c>
      <c r="B118" s="19" t="s">
        <v>547</v>
      </c>
      <c r="C118" s="19" t="s">
        <v>548</v>
      </c>
      <c r="D118" s="19" t="s">
        <v>567</v>
      </c>
      <c r="E118" s="19" t="s">
        <v>310</v>
      </c>
      <c r="F118" s="21" t="n">
        <f aca="false">SUM(G118+M118+S118+Y118+AD118)</f>
        <v>1303146.96661</v>
      </c>
      <c r="G118" s="21" t="n">
        <f aca="false">SUM(H118:L118)</f>
        <v>545856.63031</v>
      </c>
      <c r="H118" s="21" t="n">
        <f aca="false">0+495000-29139.6</f>
        <v>465860.4</v>
      </c>
      <c r="I118" s="21" t="n">
        <f aca="false">2020.20202+2979.79798-294.33939</f>
        <v>4705.66061</v>
      </c>
      <c r="J118" s="21" t="n">
        <f aca="false">80000-4709.4303</f>
        <v>75290.5697</v>
      </c>
      <c r="K118" s="21"/>
      <c r="L118" s="21"/>
      <c r="M118" s="21" t="n">
        <f aca="false">SUM(N118:R118)</f>
        <v>757290.3363</v>
      </c>
      <c r="N118" s="21" t="n">
        <f aca="false">0+431742.2</f>
        <v>431742.2</v>
      </c>
      <c r="O118" s="21" t="n">
        <f aca="false">6290.83033-1929.79798</f>
        <v>4361.03235</v>
      </c>
      <c r="P118" s="21" t="n">
        <f aca="false">120593.55045+0.00305</f>
        <v>120593.5535</v>
      </c>
      <c r="Q118" s="21"/>
      <c r="R118" s="21" t="n">
        <v>200593.55045</v>
      </c>
      <c r="S118" s="21" t="n">
        <f aca="false">SUM(T118:X118)</f>
        <v>0</v>
      </c>
      <c r="T118" s="21"/>
      <c r="U118" s="21" t="n">
        <f aca="false">14175-14175</f>
        <v>0</v>
      </c>
      <c r="V118" s="21"/>
      <c r="W118" s="21"/>
      <c r="X118" s="21"/>
      <c r="Y118" s="21" t="n">
        <f aca="false">SUM(Z118:AC118)</f>
        <v>0</v>
      </c>
      <c r="Z118" s="21"/>
      <c r="AA118" s="21"/>
      <c r="AB118" s="21"/>
      <c r="AC118" s="21"/>
      <c r="AD118" s="21" t="n">
        <f aca="false">SUM(AE118:AH118)</f>
        <v>0</v>
      </c>
      <c r="AE118" s="21"/>
      <c r="AF118" s="21"/>
      <c r="AG118" s="21"/>
      <c r="AH118" s="21"/>
      <c r="AI118" s="19" t="s">
        <v>568</v>
      </c>
      <c r="AJ118" s="19" t="s">
        <v>24</v>
      </c>
      <c r="AK118" s="19"/>
      <c r="AL118" s="19" t="s">
        <v>152</v>
      </c>
      <c r="AM118" s="19" t="s">
        <v>569</v>
      </c>
      <c r="AN118" s="19" t="s">
        <v>197</v>
      </c>
      <c r="AO118" s="19" t="s">
        <v>548</v>
      </c>
      <c r="AP118" s="19" t="s">
        <v>570</v>
      </c>
      <c r="AQ118" s="19" t="s">
        <v>570</v>
      </c>
      <c r="AR118" s="19" t="s">
        <v>571</v>
      </c>
      <c r="AS118" s="19" t="s">
        <v>157</v>
      </c>
      <c r="AT118" s="19" t="s">
        <v>45</v>
      </c>
      <c r="AU118" s="19" t="s">
        <v>572</v>
      </c>
    </row>
    <row r="119" customFormat="false" ht="117" hidden="false" customHeight="true" outlineLevel="0" collapsed="false">
      <c r="A119" s="19" t="s">
        <v>573</v>
      </c>
      <c r="B119" s="22" t="s">
        <v>574</v>
      </c>
      <c r="C119" s="22" t="s">
        <v>575</v>
      </c>
      <c r="D119" s="22" t="s">
        <v>576</v>
      </c>
      <c r="E119" s="22" t="s">
        <v>577</v>
      </c>
      <c r="F119" s="24" t="n">
        <f aca="false">G119+M119+S119+Y119+AE119</f>
        <v>32853.77397</v>
      </c>
      <c r="G119" s="21" t="n">
        <f aca="false">SUM(H119:L119)</f>
        <v>32853.77397</v>
      </c>
      <c r="H119" s="24"/>
      <c r="I119" s="69" t="n">
        <v>32853.77397</v>
      </c>
      <c r="J119" s="24"/>
      <c r="K119" s="24"/>
      <c r="L119" s="24"/>
      <c r="M119" s="21" t="n">
        <f aca="false">SUM(N119:R119)</f>
        <v>0</v>
      </c>
      <c r="N119" s="24"/>
      <c r="O119" s="24"/>
      <c r="P119" s="24"/>
      <c r="Q119" s="24"/>
      <c r="R119" s="24"/>
      <c r="S119" s="21" t="n">
        <f aca="false">SUM(T119:X119)</f>
        <v>0</v>
      </c>
      <c r="T119" s="69"/>
      <c r="U119" s="69"/>
      <c r="V119" s="24"/>
      <c r="W119" s="24"/>
      <c r="X119" s="24"/>
      <c r="Y119" s="21" t="n">
        <f aca="false">SUM(Z119:AC119)</f>
        <v>0</v>
      </c>
      <c r="Z119" s="24"/>
      <c r="AA119" s="24"/>
      <c r="AB119" s="24"/>
      <c r="AC119" s="24"/>
      <c r="AD119" s="21" t="n">
        <f aca="false">SUM(AE119:AH119)</f>
        <v>0</v>
      </c>
      <c r="AE119" s="24"/>
      <c r="AF119" s="24"/>
      <c r="AG119" s="24"/>
      <c r="AH119" s="24"/>
      <c r="AI119" s="22" t="s">
        <v>578</v>
      </c>
      <c r="AJ119" s="37"/>
      <c r="AK119" s="37" t="s">
        <v>23</v>
      </c>
      <c r="AL119" s="22" t="s">
        <v>40</v>
      </c>
      <c r="AM119" s="37" t="s">
        <v>579</v>
      </c>
      <c r="AN119" s="22" t="s">
        <v>575</v>
      </c>
      <c r="AO119" s="22" t="s">
        <v>575</v>
      </c>
      <c r="AP119" s="22" t="s">
        <v>575</v>
      </c>
      <c r="AQ119" s="22" t="s">
        <v>575</v>
      </c>
      <c r="AR119" s="70" t="s">
        <v>580</v>
      </c>
      <c r="AS119" s="19" t="s">
        <v>44</v>
      </c>
      <c r="AT119" s="37" t="s">
        <v>464</v>
      </c>
      <c r="AU119" s="37" t="s">
        <v>581</v>
      </c>
    </row>
    <row r="120" customFormat="false" ht="114" hidden="false" customHeight="true" outlineLevel="0" collapsed="false">
      <c r="A120" s="19" t="s">
        <v>582</v>
      </c>
      <c r="B120" s="22" t="s">
        <v>574</v>
      </c>
      <c r="C120" s="22" t="s">
        <v>575</v>
      </c>
      <c r="D120" s="22" t="s">
        <v>583</v>
      </c>
      <c r="E120" s="22" t="s">
        <v>584</v>
      </c>
      <c r="F120" s="24" t="n">
        <f aca="false">G120+M120+S120+Y120+AE120</f>
        <v>1793.4825</v>
      </c>
      <c r="G120" s="21" t="n">
        <f aca="false">SUM(H120:L120)</f>
        <v>1793.4825</v>
      </c>
      <c r="H120" s="24"/>
      <c r="I120" s="69" t="n">
        <v>1793.4825</v>
      </c>
      <c r="J120" s="24"/>
      <c r="K120" s="24"/>
      <c r="L120" s="24"/>
      <c r="M120" s="21" t="n">
        <f aca="false">SUM(N120:R120)</f>
        <v>0</v>
      </c>
      <c r="N120" s="24"/>
      <c r="O120" s="24"/>
      <c r="P120" s="24"/>
      <c r="Q120" s="24"/>
      <c r="R120" s="24"/>
      <c r="S120" s="21" t="n">
        <f aca="false">SUM(T120:X120)</f>
        <v>0</v>
      </c>
      <c r="T120" s="24"/>
      <c r="U120" s="24"/>
      <c r="V120" s="24"/>
      <c r="W120" s="24"/>
      <c r="X120" s="24"/>
      <c r="Y120" s="21" t="n">
        <f aca="false">SUM(Z120:AC120)</f>
        <v>0</v>
      </c>
      <c r="Z120" s="24"/>
      <c r="AA120" s="24"/>
      <c r="AB120" s="24"/>
      <c r="AC120" s="24"/>
      <c r="AD120" s="21" t="n">
        <f aca="false">SUM(AE120:AH120)</f>
        <v>0</v>
      </c>
      <c r="AE120" s="24"/>
      <c r="AF120" s="24"/>
      <c r="AG120" s="24"/>
      <c r="AH120" s="24"/>
      <c r="AI120" s="22" t="s">
        <v>578</v>
      </c>
      <c r="AJ120" s="37"/>
      <c r="AK120" s="37" t="s">
        <v>23</v>
      </c>
      <c r="AL120" s="22" t="s">
        <v>40</v>
      </c>
      <c r="AM120" s="22" t="s">
        <v>585</v>
      </c>
      <c r="AN120" s="22" t="s">
        <v>575</v>
      </c>
      <c r="AO120" s="22" t="s">
        <v>575</v>
      </c>
      <c r="AP120" s="22" t="s">
        <v>575</v>
      </c>
      <c r="AQ120" s="22" t="s">
        <v>575</v>
      </c>
      <c r="AR120" s="70" t="s">
        <v>586</v>
      </c>
      <c r="AS120" s="19" t="s">
        <v>44</v>
      </c>
      <c r="AT120" s="37" t="s">
        <v>464</v>
      </c>
      <c r="AU120" s="22" t="s">
        <v>587</v>
      </c>
    </row>
    <row r="121" customFormat="false" ht="27.75" hidden="false" customHeight="true" outlineLevel="0" collapsed="false">
      <c r="A121" s="71"/>
      <c r="B121" s="19" t="s">
        <v>28</v>
      </c>
      <c r="C121" s="19"/>
      <c r="D121" s="19"/>
      <c r="E121" s="19"/>
      <c r="F121" s="21" t="n">
        <f aca="false">SUM(F10:F120)</f>
        <v>56351584.3692467</v>
      </c>
      <c r="G121" s="21" t="n">
        <f aca="false">SUM(G10:G120)</f>
        <v>21706140.11885</v>
      </c>
      <c r="H121" s="21" t="n">
        <f aca="false">SUM(H10:H120)</f>
        <v>15633566.44103</v>
      </c>
      <c r="I121" s="21" t="n">
        <f aca="false">SUM(I10:I120)</f>
        <v>4654215.45723</v>
      </c>
      <c r="J121" s="21" t="n">
        <f aca="false">SUM(J10:J120)</f>
        <v>133483.14353</v>
      </c>
      <c r="K121" s="21" t="n">
        <f aca="false">SUM(K10:K120)</f>
        <v>1284875.07706</v>
      </c>
      <c r="L121" s="21" t="n">
        <f aca="false">SUM(L10:L120)</f>
        <v>0</v>
      </c>
      <c r="M121" s="21" t="n">
        <f aca="false">SUM(M10:M120)</f>
        <v>20047502.19954</v>
      </c>
      <c r="N121" s="21" t="n">
        <f aca="false">SUM(N10:N120)</f>
        <v>7921374.15148</v>
      </c>
      <c r="O121" s="21" t="n">
        <f aca="false">SUM(O10:O120)</f>
        <v>11801497.5232</v>
      </c>
      <c r="P121" s="21" t="n">
        <f aca="false">SUM(P10:P120)</f>
        <v>124036.97441</v>
      </c>
      <c r="Q121" s="21" t="n">
        <f aca="false">SUM(Q10:Q120)</f>
        <v>0</v>
      </c>
      <c r="R121" s="21" t="n">
        <f aca="false">SUM(R10:R120)</f>
        <v>200593.55045</v>
      </c>
      <c r="S121" s="21" t="n">
        <f aca="false">SUM(S10:S120)</f>
        <v>6958427.4724</v>
      </c>
      <c r="T121" s="21" t="n">
        <f aca="false">SUM(T10:T120)</f>
        <v>1524666.6</v>
      </c>
      <c r="U121" s="21" t="n">
        <f aca="false">SUM(U10:U120)</f>
        <v>5431624.6936</v>
      </c>
      <c r="V121" s="21" t="n">
        <f aca="false">SUM(V10:V120)</f>
        <v>2136.1788</v>
      </c>
      <c r="W121" s="21" t="n">
        <f aca="false">SUM(W10:W120)</f>
        <v>0</v>
      </c>
      <c r="X121" s="21" t="n">
        <f aca="false">SUM(X10:X120)</f>
        <v>0</v>
      </c>
      <c r="Y121" s="21" t="n">
        <f aca="false">SUM(Y10:Y120)</f>
        <v>7232933.91179</v>
      </c>
      <c r="Z121" s="21" t="n">
        <f aca="false">SUM(Z10:Z120)</f>
        <v>88987.8</v>
      </c>
      <c r="AA121" s="21" t="n">
        <f aca="false">SUM(AA10:AA120)</f>
        <v>643407.37309</v>
      </c>
      <c r="AB121" s="21" t="n">
        <f aca="false">SUM(AB10:AB120)</f>
        <v>7096.01244</v>
      </c>
      <c r="AC121" s="21" t="n">
        <f aca="false">SUM(AC10:AC120)</f>
        <v>6493442.72626</v>
      </c>
      <c r="AD121" s="21" t="n">
        <f aca="false">SUM(AD10:AD120)</f>
        <v>406580.666666667</v>
      </c>
      <c r="AE121" s="21" t="n">
        <f aca="false">SUM(AE10:AE120)</f>
        <v>355951.2</v>
      </c>
      <c r="AF121" s="21" t="n">
        <f aca="false">SUM(AF10:AF120)</f>
        <v>50629.4666666667</v>
      </c>
      <c r="AG121" s="21" t="n">
        <f aca="false">SUM(AG10:AG120)</f>
        <v>0</v>
      </c>
      <c r="AH121" s="21" t="n">
        <f aca="false">SUM(AH10:AH120)</f>
        <v>0</v>
      </c>
      <c r="AI121" s="72"/>
      <c r="AJ121" s="72"/>
      <c r="AK121" s="72"/>
      <c r="AL121" s="72"/>
      <c r="AM121" s="72"/>
      <c r="AN121" s="72"/>
      <c r="AO121" s="72"/>
      <c r="AP121" s="72"/>
      <c r="AQ121" s="72"/>
      <c r="AR121" s="72"/>
      <c r="AS121" s="72"/>
      <c r="AT121" s="72"/>
      <c r="AU121" s="7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  <c r="BQ121" s="32"/>
      <c r="BR121" s="32"/>
      <c r="BS121" s="32"/>
      <c r="BT121" s="32"/>
      <c r="BU121" s="32"/>
      <c r="BV121" s="32"/>
      <c r="BW121" s="32"/>
      <c r="BX121" s="32"/>
      <c r="BY121" s="32"/>
      <c r="BZ121" s="32"/>
      <c r="CA121" s="32"/>
      <c r="CB121" s="32"/>
      <c r="CC121" s="32"/>
      <c r="CD121" s="32"/>
      <c r="CE121" s="32"/>
      <c r="CF121" s="32"/>
      <c r="CG121" s="32"/>
      <c r="CH121" s="32"/>
      <c r="CI121" s="32"/>
      <c r="CJ121" s="32"/>
      <c r="CK121" s="32"/>
      <c r="CL121" s="32"/>
      <c r="CM121" s="32"/>
      <c r="CN121" s="32"/>
      <c r="CO121" s="32"/>
      <c r="CP121" s="32"/>
      <c r="CQ121" s="32"/>
      <c r="CR121" s="32"/>
      <c r="CS121" s="32"/>
      <c r="CT121" s="32"/>
      <c r="CU121" s="32"/>
      <c r="CV121" s="32"/>
      <c r="CW121" s="32"/>
      <c r="CX121" s="32"/>
    </row>
    <row r="122" customFormat="false" ht="42" hidden="false" customHeight="true" outlineLevel="0" collapsed="false">
      <c r="A122" s="71"/>
      <c r="B122" s="19" t="s">
        <v>35</v>
      </c>
      <c r="C122" s="19"/>
      <c r="D122" s="19"/>
      <c r="E122" s="19"/>
      <c r="F122" s="21" t="n">
        <f aca="false">F10+F11+F12+F13+F14+F15+F16+F17+F18+F19+F20+F22+F23+F24+F25+F21</f>
        <v>8588952.92261</v>
      </c>
      <c r="G122" s="21" t="n">
        <f aca="false">G10+G11+G12+G13+G14+G15+G16+G17+G18+G19+G20+G22+G23+G24+G25+G21</f>
        <v>6355598.60009</v>
      </c>
      <c r="H122" s="21" t="n">
        <f aca="false">H10+H11+H12+H13+H14+H15+H16+H17+H18+H19+H20+H22+H23+H24+H25+H21</f>
        <v>5175313.55593</v>
      </c>
      <c r="I122" s="21" t="n">
        <f aca="false">I10+I11+I12+I13+I14+I15+I16+I17+I18+I19+I20+I22+I23+I24+I25+I21</f>
        <v>1180285.04416</v>
      </c>
      <c r="J122" s="21" t="n">
        <f aca="false">J10+J11+J12+J13+J14+J15+J16+J17+J18+J19+J20+J22+J23+J24+J25+J21</f>
        <v>0</v>
      </c>
      <c r="K122" s="21" t="n">
        <f aca="false">K10+K11+K12+K13+K14+K15+K16+K17+K18+K19+K20+K22+K23+K24+K25+K21</f>
        <v>0</v>
      </c>
      <c r="L122" s="21" t="n">
        <f aca="false">L10+L11+L12+L13+L14+L15+L16+L17+L18+L19+L20+L22+L23+L24+L25+L21</f>
        <v>0</v>
      </c>
      <c r="M122" s="21" t="n">
        <f aca="false">M10+M11+M12+M13+M14+M15+M16+M17+M18+M19+M20+M22+M23+M24+M25+M21</f>
        <v>2233354.32252</v>
      </c>
      <c r="N122" s="21" t="n">
        <f aca="false">N10+N11+N12+N13+N14+N15+N16+N17+N18+N19+N20+N22+N23+N24+N25+N21</f>
        <v>1081694.30615</v>
      </c>
      <c r="O122" s="21" t="n">
        <f aca="false">O10+O11+O12+O13+O14+O15+O16+O17+O18+O19+O20+O22+O23+O24+O25+O21</f>
        <v>1151660.01637</v>
      </c>
      <c r="P122" s="21" t="n">
        <f aca="false">P10+P11+P12+P13+P14+P15+P16+P17+P18+P19+P20+P22+P23+P24+P25+P21</f>
        <v>0</v>
      </c>
      <c r="Q122" s="21" t="n">
        <f aca="false">Q10+Q11+Q12+Q13+Q14+Q15+Q16+Q17+Q18+Q19+Q20+Q22+Q23+Q24+Q25+Q21</f>
        <v>0</v>
      </c>
      <c r="R122" s="21" t="n">
        <f aca="false">R10+R11+R12+R13+R14+R15+R16+R17+R18+R19+R20+R22+R23+R24+R25+R21</f>
        <v>0</v>
      </c>
      <c r="S122" s="21" t="n">
        <f aca="false">S10+S11+S12+S13+S14+S15+S16+S17+S18+S19+S20+S22+S23+S24+S25+S21</f>
        <v>0</v>
      </c>
      <c r="T122" s="21" t="n">
        <f aca="false">T10+T11+T12+T13+T14+T15+T16+T17+T18+T19+T20+T22+T23+T24+T25+T21</f>
        <v>0</v>
      </c>
      <c r="U122" s="21" t="n">
        <f aca="false">U10+U11+U12+U13+U14+U15+U16+U17+U18+U19+U20+U22+U23+U24+U25+U21</f>
        <v>0</v>
      </c>
      <c r="V122" s="21" t="n">
        <f aca="false">V10+V11+V12+V13+V14+V15+V16+V17+V18+V19+V20+V22+V23+V24+V25+V21</f>
        <v>0</v>
      </c>
      <c r="W122" s="21" t="n">
        <f aca="false">W10+W11+W12+W13+W14+W15+W16+W17+W18+W19+W20+W22+W23+W24+W25+W21</f>
        <v>0</v>
      </c>
      <c r="X122" s="21" t="n">
        <f aca="false">X10+X11+X12+X13+X14+X15+X16+X17+X18+X19+X20+X22+X23+X24+X25+X21</f>
        <v>0</v>
      </c>
      <c r="Y122" s="21" t="n">
        <f aca="false">Y10+Y11+Y12+Y13+Y14+Y15+Y16+Y17+Y18+Y19+Y20+Y22+Y23+Y24+Y25+Y21</f>
        <v>0</v>
      </c>
      <c r="Z122" s="21" t="n">
        <f aca="false">Z10+Z11+Z12+Z13+Z14+Z15+Z16+Z17+Z18+Z19+Z20+Z22+Z23+Z24+Z25+Z21</f>
        <v>0</v>
      </c>
      <c r="AA122" s="21" t="n">
        <f aca="false">AA10+AA11+AA12+AA13+AA14+AA15+AA16+AA17+AA18+AA19+AA20+AA22+AA23+AA24+AA25+AA21</f>
        <v>0</v>
      </c>
      <c r="AB122" s="21" t="n">
        <f aca="false">AB10+AB11+AB12+AB13+AB14+AB15+AB16+AB17+AB18+AB19+AB20+AB22+AB23+AB24+AB25+AB21</f>
        <v>0</v>
      </c>
      <c r="AC122" s="21" t="n">
        <f aca="false">AC10+AC11+AC12+AC13+AC14+AC15+AC16+AC17+AC18+AC19+AC20+AC22+AC23+AC24+AC25+AC21</f>
        <v>0</v>
      </c>
      <c r="AD122" s="21" t="n">
        <f aca="false">AD10+AD11+AD12+AD13+AD14+AD15+AD16+AD17+AD18+AD19+AD20+AD22+AD23+AD24+AD25+AD21</f>
        <v>0</v>
      </c>
      <c r="AE122" s="21" t="n">
        <f aca="false">AE10+AE11+AE12+AE13+AE14+AE15+AE16+AE17+AE18+AE19+AE20+AE22+AE23+AE24+AE25+AE21</f>
        <v>0</v>
      </c>
      <c r="AF122" s="21" t="n">
        <f aca="false">AF10+AF11+AF12+AF13+AF14+AF15+AF16+AF17+AF18+AF19+AF20+AF22+AF23+AF24+AF25+AF21</f>
        <v>0</v>
      </c>
      <c r="AG122" s="21" t="n">
        <f aca="false">AG10+AG11+AG12+AG13+AG14+AG15+AG16+AG17+AG18+AG19+AG20+AG22+AG23+AG24+AG25+AG21</f>
        <v>0</v>
      </c>
      <c r="AH122" s="21" t="n">
        <f aca="false">AH10+AH11+AH12+AH13+AH14+AH15+AH16+AH17+AH18+AH19+AH20+AH22+AH23+AH24+AH25+AH21</f>
        <v>0</v>
      </c>
      <c r="AI122" s="72"/>
      <c r="AJ122" s="72"/>
      <c r="AK122" s="72"/>
      <c r="AL122" s="72"/>
      <c r="AM122" s="72"/>
      <c r="AN122" s="72"/>
      <c r="AO122" s="72"/>
      <c r="AP122" s="72"/>
      <c r="AQ122" s="72"/>
      <c r="AR122" s="72"/>
      <c r="AS122" s="72"/>
      <c r="AT122" s="72"/>
      <c r="AU122" s="7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2"/>
      <c r="BR122" s="32"/>
      <c r="BS122" s="32"/>
      <c r="BT122" s="32"/>
      <c r="BU122" s="32"/>
      <c r="BV122" s="32"/>
      <c r="BW122" s="32"/>
      <c r="BX122" s="32"/>
      <c r="BY122" s="32"/>
      <c r="BZ122" s="32"/>
      <c r="CA122" s="32"/>
      <c r="CB122" s="32"/>
      <c r="CC122" s="32"/>
      <c r="CD122" s="32"/>
      <c r="CE122" s="32"/>
      <c r="CF122" s="32"/>
      <c r="CG122" s="32"/>
      <c r="CH122" s="32"/>
      <c r="CI122" s="32"/>
      <c r="CJ122" s="32"/>
      <c r="CK122" s="32"/>
      <c r="CL122" s="32"/>
      <c r="CM122" s="32"/>
      <c r="CN122" s="32"/>
      <c r="CO122" s="32"/>
      <c r="CP122" s="32"/>
      <c r="CQ122" s="32"/>
      <c r="CR122" s="32"/>
      <c r="CS122" s="32"/>
      <c r="CT122" s="32"/>
      <c r="CU122" s="32"/>
      <c r="CV122" s="32"/>
      <c r="CW122" s="32"/>
      <c r="CX122" s="32"/>
    </row>
    <row r="123" customFormat="false" ht="42" hidden="false" customHeight="true" outlineLevel="0" collapsed="false">
      <c r="A123" s="71"/>
      <c r="B123" s="19" t="s">
        <v>120</v>
      </c>
      <c r="C123" s="19"/>
      <c r="D123" s="19"/>
      <c r="E123" s="19"/>
      <c r="F123" s="21" t="n">
        <f aca="false">F26+F27+F28</f>
        <v>1506857.871</v>
      </c>
      <c r="G123" s="21" t="n">
        <f aca="false">G26+G27+G28</f>
        <v>1280337.871</v>
      </c>
      <c r="H123" s="21" t="n">
        <f aca="false">H26+H27+H28</f>
        <v>728556.1</v>
      </c>
      <c r="I123" s="21" t="n">
        <f aca="false">I26+I27+I28</f>
        <v>551781.771</v>
      </c>
      <c r="J123" s="21" t="n">
        <f aca="false">J26+J27+J28</f>
        <v>0</v>
      </c>
      <c r="K123" s="21" t="n">
        <f aca="false">K26+K27+K28</f>
        <v>0</v>
      </c>
      <c r="L123" s="21" t="n">
        <f aca="false">L26+L27+L28</f>
        <v>0</v>
      </c>
      <c r="M123" s="21" t="n">
        <f aca="false">M26+M27+M28</f>
        <v>226520</v>
      </c>
      <c r="N123" s="21" t="n">
        <f aca="false">N26+N27+N28</f>
        <v>150000</v>
      </c>
      <c r="O123" s="21" t="n">
        <f aca="false">O26+O27+O28</f>
        <v>76520</v>
      </c>
      <c r="P123" s="21" t="n">
        <f aca="false">P26+P27+P28</f>
        <v>0</v>
      </c>
      <c r="Q123" s="21" t="n">
        <f aca="false">Q26+Q27+Q28</f>
        <v>0</v>
      </c>
      <c r="R123" s="21" t="n">
        <f aca="false">R26+R27+R28</f>
        <v>0</v>
      </c>
      <c r="S123" s="21" t="n">
        <f aca="false">S26+S27+S28</f>
        <v>0</v>
      </c>
      <c r="T123" s="21" t="n">
        <f aca="false">T26+T27+T28</f>
        <v>0</v>
      </c>
      <c r="U123" s="21" t="n">
        <f aca="false">U26+U27+U28</f>
        <v>0</v>
      </c>
      <c r="V123" s="21" t="n">
        <f aca="false">V26+V27+V28</f>
        <v>0</v>
      </c>
      <c r="W123" s="21" t="n">
        <f aca="false">W26+W27+W28</f>
        <v>0</v>
      </c>
      <c r="X123" s="21" t="n">
        <f aca="false">X26+X27+X28</f>
        <v>0</v>
      </c>
      <c r="Y123" s="21" t="n">
        <f aca="false">Y26+Y27+Y28</f>
        <v>0</v>
      </c>
      <c r="Z123" s="21" t="n">
        <f aca="false">Z26+Z27+Z28</f>
        <v>0</v>
      </c>
      <c r="AA123" s="21" t="n">
        <f aca="false">AA26+AA27+AA28</f>
        <v>0</v>
      </c>
      <c r="AB123" s="21" t="n">
        <f aca="false">AB26+AB27+AB28</f>
        <v>0</v>
      </c>
      <c r="AC123" s="21" t="n">
        <f aca="false">AC26+AC27+AC28</f>
        <v>0</v>
      </c>
      <c r="AD123" s="21" t="n">
        <f aca="false">AD26+AD27+AD28</f>
        <v>0</v>
      </c>
      <c r="AE123" s="21" t="n">
        <f aca="false">AE26+AE27+AE28</f>
        <v>0</v>
      </c>
      <c r="AF123" s="21" t="n">
        <f aca="false">AF26+AF27+AF28</f>
        <v>0</v>
      </c>
      <c r="AG123" s="21" t="n">
        <f aca="false">AG26+AG27+AG28</f>
        <v>0</v>
      </c>
      <c r="AH123" s="21" t="n">
        <f aca="false">AH26+AH27+AH28</f>
        <v>0</v>
      </c>
      <c r="AI123" s="72"/>
      <c r="AJ123" s="72"/>
      <c r="AK123" s="72"/>
      <c r="AL123" s="72"/>
      <c r="AM123" s="72"/>
      <c r="AN123" s="72"/>
      <c r="AO123" s="72"/>
      <c r="AP123" s="72"/>
      <c r="AQ123" s="72"/>
      <c r="AR123" s="72"/>
      <c r="AS123" s="72"/>
      <c r="AT123" s="72"/>
      <c r="AU123" s="7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2"/>
      <c r="BR123" s="32"/>
      <c r="BS123" s="32"/>
      <c r="BT123" s="32"/>
      <c r="BU123" s="32"/>
      <c r="BV123" s="32"/>
      <c r="BW123" s="32"/>
      <c r="BX123" s="32"/>
      <c r="BY123" s="32"/>
      <c r="BZ123" s="32"/>
      <c r="CA123" s="32"/>
      <c r="CB123" s="32"/>
      <c r="CC123" s="32"/>
      <c r="CD123" s="32"/>
      <c r="CE123" s="32"/>
      <c r="CF123" s="32"/>
      <c r="CG123" s="32"/>
      <c r="CH123" s="32"/>
      <c r="CI123" s="32"/>
      <c r="CJ123" s="32"/>
      <c r="CK123" s="32"/>
      <c r="CL123" s="32"/>
      <c r="CM123" s="32"/>
      <c r="CN123" s="32"/>
      <c r="CO123" s="32"/>
      <c r="CP123" s="32"/>
      <c r="CQ123" s="32"/>
      <c r="CR123" s="32"/>
      <c r="CS123" s="32"/>
      <c r="CT123" s="32"/>
      <c r="CU123" s="32"/>
      <c r="CV123" s="32"/>
      <c r="CW123" s="32"/>
      <c r="CX123" s="32"/>
    </row>
    <row r="124" customFormat="false" ht="42" hidden="false" customHeight="true" outlineLevel="0" collapsed="false">
      <c r="A124" s="71"/>
      <c r="B124" s="19" t="s">
        <v>137</v>
      </c>
      <c r="C124" s="19"/>
      <c r="D124" s="19"/>
      <c r="E124" s="19"/>
      <c r="F124" s="21" t="n">
        <f aca="false">F29+F30+F31</f>
        <v>1120158.42073</v>
      </c>
      <c r="G124" s="21" t="n">
        <f aca="false">G29+G30+G31</f>
        <v>784597.36584</v>
      </c>
      <c r="H124" s="21" t="n">
        <f aca="false">H29+H30+H31</f>
        <v>529656.12</v>
      </c>
      <c r="I124" s="21" t="n">
        <f aca="false">I29+I30+I31</f>
        <v>254102.68301</v>
      </c>
      <c r="J124" s="21" t="n">
        <f aca="false">J29+J30+J31</f>
        <v>838.56283</v>
      </c>
      <c r="K124" s="21" t="n">
        <f aca="false">K29+K30+K31</f>
        <v>0</v>
      </c>
      <c r="L124" s="21" t="n">
        <f aca="false">L29+L30+L31</f>
        <v>0</v>
      </c>
      <c r="M124" s="21" t="n">
        <f aca="false">M29+M30+M31</f>
        <v>335561.05489</v>
      </c>
      <c r="N124" s="21" t="n">
        <f aca="false">N29+N30+N31</f>
        <v>0</v>
      </c>
      <c r="O124" s="21" t="n">
        <f aca="false">O29+O30+O31</f>
        <v>335561.05489</v>
      </c>
      <c r="P124" s="21" t="n">
        <f aca="false">P29+P30+P31</f>
        <v>0</v>
      </c>
      <c r="Q124" s="21" t="n">
        <f aca="false">Q29+Q30+Q31</f>
        <v>0</v>
      </c>
      <c r="R124" s="21" t="n">
        <f aca="false">R29+R30+R31</f>
        <v>0</v>
      </c>
      <c r="S124" s="21" t="n">
        <f aca="false">S29+S30+S31</f>
        <v>0</v>
      </c>
      <c r="T124" s="21" t="n">
        <f aca="false">T29+T30+T31</f>
        <v>0</v>
      </c>
      <c r="U124" s="21" t="n">
        <f aca="false">U29+U30+U31</f>
        <v>0</v>
      </c>
      <c r="V124" s="21" t="n">
        <f aca="false">V29+V30+V31</f>
        <v>0</v>
      </c>
      <c r="W124" s="21" t="n">
        <f aca="false">W29+W30+W31</f>
        <v>0</v>
      </c>
      <c r="X124" s="21" t="n">
        <f aca="false">X29+X30+X31</f>
        <v>0</v>
      </c>
      <c r="Y124" s="21" t="n">
        <f aca="false">Y29+Y30+Y31</f>
        <v>0</v>
      </c>
      <c r="Z124" s="21" t="n">
        <f aca="false">Z29+Z30+Z31</f>
        <v>0</v>
      </c>
      <c r="AA124" s="21" t="n">
        <f aca="false">AA29+AA30+AA31</f>
        <v>0</v>
      </c>
      <c r="AB124" s="21" t="n">
        <f aca="false">AB29+AB30+AB31</f>
        <v>0</v>
      </c>
      <c r="AC124" s="21" t="n">
        <f aca="false">AC29+AC30+AC31</f>
        <v>0</v>
      </c>
      <c r="AD124" s="21" t="n">
        <f aca="false">AD29+AD30+AD31</f>
        <v>0</v>
      </c>
      <c r="AE124" s="21" t="n">
        <f aca="false">AE29+AE30+AE31</f>
        <v>0</v>
      </c>
      <c r="AF124" s="21" t="n">
        <f aca="false">AF29+AF30+AF31</f>
        <v>0</v>
      </c>
      <c r="AG124" s="21" t="n">
        <f aca="false">AG29+AG30+AG31</f>
        <v>0</v>
      </c>
      <c r="AH124" s="21" t="n">
        <f aca="false">AH29+AH30+AH31</f>
        <v>0</v>
      </c>
      <c r="AI124" s="72"/>
      <c r="AJ124" s="72"/>
      <c r="AK124" s="72"/>
      <c r="AL124" s="72"/>
      <c r="AM124" s="72"/>
      <c r="AN124" s="72"/>
      <c r="AO124" s="72"/>
      <c r="AP124" s="72"/>
      <c r="AQ124" s="72"/>
      <c r="AR124" s="72"/>
      <c r="AS124" s="72"/>
      <c r="AT124" s="72"/>
      <c r="AU124" s="7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2"/>
      <c r="BR124" s="32"/>
      <c r="BS124" s="32"/>
      <c r="BT124" s="32"/>
      <c r="BU124" s="32"/>
      <c r="BV124" s="32"/>
      <c r="BW124" s="32"/>
      <c r="BX124" s="32"/>
      <c r="BY124" s="32"/>
      <c r="BZ124" s="32"/>
      <c r="CA124" s="32"/>
      <c r="CB124" s="32"/>
      <c r="CC124" s="32"/>
      <c r="CD124" s="32"/>
      <c r="CE124" s="32"/>
      <c r="CF124" s="32"/>
      <c r="CG124" s="32"/>
      <c r="CH124" s="32"/>
      <c r="CI124" s="32"/>
      <c r="CJ124" s="32"/>
      <c r="CK124" s="32"/>
      <c r="CL124" s="32"/>
      <c r="CM124" s="32"/>
      <c r="CN124" s="32"/>
      <c r="CO124" s="32"/>
      <c r="CP124" s="32"/>
      <c r="CQ124" s="32"/>
      <c r="CR124" s="32"/>
      <c r="CS124" s="32"/>
      <c r="CT124" s="32"/>
      <c r="CU124" s="32"/>
      <c r="CV124" s="32"/>
      <c r="CW124" s="32"/>
      <c r="CX124" s="32"/>
    </row>
    <row r="125" customFormat="false" ht="42" hidden="false" customHeight="true" outlineLevel="0" collapsed="false">
      <c r="A125" s="71"/>
      <c r="B125" s="19" t="s">
        <v>160</v>
      </c>
      <c r="C125" s="19"/>
      <c r="D125" s="19"/>
      <c r="E125" s="19"/>
      <c r="F125" s="21" t="n">
        <f aca="false">F33+F32</f>
        <v>660718.79</v>
      </c>
      <c r="G125" s="21" t="n">
        <f aca="false">G33+G32</f>
        <v>9988.99</v>
      </c>
      <c r="H125" s="21" t="n">
        <f aca="false">H33+H32</f>
        <v>0</v>
      </c>
      <c r="I125" s="21" t="n">
        <f aca="false">I33+I32</f>
        <v>9988.99</v>
      </c>
      <c r="J125" s="21" t="n">
        <f aca="false">J33+J32</f>
        <v>0</v>
      </c>
      <c r="K125" s="21" t="n">
        <f aca="false">K33+K32</f>
        <v>0</v>
      </c>
      <c r="L125" s="21" t="n">
        <f aca="false">L33+L32</f>
        <v>0</v>
      </c>
      <c r="M125" s="21" t="n">
        <f aca="false">M33+M32</f>
        <v>60000</v>
      </c>
      <c r="N125" s="21" t="n">
        <f aca="false">N33+N32</f>
        <v>0</v>
      </c>
      <c r="O125" s="21" t="n">
        <f aca="false">O33+O32</f>
        <v>60000</v>
      </c>
      <c r="P125" s="21" t="n">
        <f aca="false">P33+P32</f>
        <v>0</v>
      </c>
      <c r="Q125" s="21" t="n">
        <f aca="false">Q33+Q32</f>
        <v>0</v>
      </c>
      <c r="R125" s="21" t="n">
        <f aca="false">R33+R32</f>
        <v>0</v>
      </c>
      <c r="S125" s="21" t="n">
        <f aca="false">S33+S32</f>
        <v>590729.8</v>
      </c>
      <c r="T125" s="21" t="n">
        <f aca="false">T33+T32</f>
        <v>565729.8</v>
      </c>
      <c r="U125" s="21" t="n">
        <f aca="false">U33+U32</f>
        <v>25000</v>
      </c>
      <c r="V125" s="21" t="n">
        <f aca="false">V33+V32</f>
        <v>0</v>
      </c>
      <c r="W125" s="21" t="n">
        <f aca="false">W33+W32</f>
        <v>0</v>
      </c>
      <c r="X125" s="21" t="n">
        <f aca="false">X33+X32</f>
        <v>0</v>
      </c>
      <c r="Y125" s="21" t="n">
        <f aca="false">Y33+Y32</f>
        <v>0</v>
      </c>
      <c r="Z125" s="21" t="n">
        <f aca="false">Z33+Z32</f>
        <v>0</v>
      </c>
      <c r="AA125" s="21" t="n">
        <f aca="false">AA33+AA32</f>
        <v>0</v>
      </c>
      <c r="AB125" s="21" t="n">
        <f aca="false">AB33+AB32</f>
        <v>0</v>
      </c>
      <c r="AC125" s="21" t="n">
        <f aca="false">AC33+AC32</f>
        <v>0</v>
      </c>
      <c r="AD125" s="21" t="n">
        <f aca="false">AD33+AD32</f>
        <v>0</v>
      </c>
      <c r="AE125" s="21" t="n">
        <f aca="false">AE33+AE32</f>
        <v>0</v>
      </c>
      <c r="AF125" s="21" t="n">
        <f aca="false">AF33+AF32</f>
        <v>0</v>
      </c>
      <c r="AG125" s="21" t="n">
        <f aca="false">AG33+AG32</f>
        <v>0</v>
      </c>
      <c r="AH125" s="21" t="n">
        <f aca="false">AH33+AH32</f>
        <v>0</v>
      </c>
      <c r="AI125" s="72"/>
      <c r="AJ125" s="72"/>
      <c r="AK125" s="72"/>
      <c r="AL125" s="72"/>
      <c r="AM125" s="72"/>
      <c r="AN125" s="72"/>
      <c r="AO125" s="72"/>
      <c r="AP125" s="72"/>
      <c r="AQ125" s="72"/>
      <c r="AR125" s="72"/>
      <c r="AS125" s="72"/>
      <c r="AT125" s="72"/>
      <c r="AU125" s="7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2"/>
      <c r="BR125" s="32"/>
      <c r="BS125" s="32"/>
      <c r="BT125" s="32"/>
      <c r="BU125" s="32"/>
      <c r="BV125" s="32"/>
      <c r="BW125" s="32"/>
      <c r="BX125" s="32"/>
      <c r="BY125" s="32"/>
      <c r="BZ125" s="32"/>
      <c r="CA125" s="32"/>
      <c r="CB125" s="32"/>
      <c r="CC125" s="32"/>
      <c r="CD125" s="32"/>
      <c r="CE125" s="32"/>
      <c r="CF125" s="32"/>
      <c r="CG125" s="32"/>
      <c r="CH125" s="32"/>
      <c r="CI125" s="32"/>
      <c r="CJ125" s="32"/>
      <c r="CK125" s="32"/>
      <c r="CL125" s="32"/>
      <c r="CM125" s="32"/>
      <c r="CN125" s="32"/>
      <c r="CO125" s="32"/>
      <c r="CP125" s="32"/>
      <c r="CQ125" s="32"/>
      <c r="CR125" s="32"/>
      <c r="CS125" s="32"/>
      <c r="CT125" s="32"/>
      <c r="CU125" s="32"/>
      <c r="CV125" s="32"/>
      <c r="CW125" s="32"/>
      <c r="CX125" s="32"/>
    </row>
    <row r="126" customFormat="false" ht="42" hidden="false" customHeight="true" outlineLevel="0" collapsed="false">
      <c r="A126" s="71"/>
      <c r="B126" s="26" t="s">
        <v>174</v>
      </c>
      <c r="C126" s="26"/>
      <c r="D126" s="26"/>
      <c r="E126" s="26"/>
      <c r="F126" s="21" t="n">
        <f aca="false">F34</f>
        <v>191740</v>
      </c>
      <c r="G126" s="21" t="n">
        <f aca="false">G34</f>
        <v>191740</v>
      </c>
      <c r="H126" s="21" t="n">
        <f aca="false">H34</f>
        <v>122322.3</v>
      </c>
      <c r="I126" s="21" t="n">
        <f aca="false">I34</f>
        <v>69417.7</v>
      </c>
      <c r="J126" s="21" t="n">
        <f aca="false">J34</f>
        <v>0</v>
      </c>
      <c r="K126" s="21" t="n">
        <f aca="false">K34</f>
        <v>0</v>
      </c>
      <c r="L126" s="21" t="n">
        <f aca="false">L34</f>
        <v>0</v>
      </c>
      <c r="M126" s="21" t="n">
        <f aca="false">M34</f>
        <v>0</v>
      </c>
      <c r="N126" s="21" t="n">
        <f aca="false">N34</f>
        <v>0</v>
      </c>
      <c r="O126" s="21" t="n">
        <f aca="false">O34</f>
        <v>0</v>
      </c>
      <c r="P126" s="21" t="n">
        <f aca="false">P34</f>
        <v>0</v>
      </c>
      <c r="Q126" s="21" t="n">
        <f aca="false">Q34</f>
        <v>0</v>
      </c>
      <c r="R126" s="21" t="n">
        <f aca="false">R34</f>
        <v>0</v>
      </c>
      <c r="S126" s="21" t="n">
        <f aca="false">S34</f>
        <v>0</v>
      </c>
      <c r="T126" s="21" t="n">
        <f aca="false">T34</f>
        <v>0</v>
      </c>
      <c r="U126" s="21" t="n">
        <f aca="false">U34</f>
        <v>0</v>
      </c>
      <c r="V126" s="21" t="n">
        <f aca="false">V34</f>
        <v>0</v>
      </c>
      <c r="W126" s="21" t="n">
        <f aca="false">W34</f>
        <v>0</v>
      </c>
      <c r="X126" s="21" t="n">
        <f aca="false">X34</f>
        <v>0</v>
      </c>
      <c r="Y126" s="21" t="n">
        <f aca="false">Y34</f>
        <v>0</v>
      </c>
      <c r="Z126" s="21" t="n">
        <f aca="false">Z34</f>
        <v>0</v>
      </c>
      <c r="AA126" s="21" t="n">
        <f aca="false">AA34</f>
        <v>0</v>
      </c>
      <c r="AB126" s="21" t="n">
        <f aca="false">AB34</f>
        <v>0</v>
      </c>
      <c r="AC126" s="21" t="n">
        <f aca="false">AC34</f>
        <v>0</v>
      </c>
      <c r="AD126" s="21" t="n">
        <f aca="false">AD34</f>
        <v>0</v>
      </c>
      <c r="AE126" s="21" t="n">
        <f aca="false">AE34</f>
        <v>0</v>
      </c>
      <c r="AF126" s="21" t="n">
        <f aca="false">AF34</f>
        <v>0</v>
      </c>
      <c r="AG126" s="21" t="n">
        <f aca="false">AG34</f>
        <v>0</v>
      </c>
      <c r="AH126" s="21" t="n">
        <f aca="false">AH34</f>
        <v>0</v>
      </c>
      <c r="AI126" s="72"/>
      <c r="AJ126" s="72"/>
      <c r="AK126" s="72"/>
      <c r="AL126" s="72"/>
      <c r="AM126" s="72"/>
      <c r="AN126" s="72"/>
      <c r="AO126" s="72"/>
      <c r="AP126" s="72"/>
      <c r="AQ126" s="72"/>
      <c r="AR126" s="72"/>
      <c r="AS126" s="72"/>
      <c r="AT126" s="72"/>
      <c r="AU126" s="7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2"/>
      <c r="BR126" s="32"/>
      <c r="BS126" s="32"/>
      <c r="BT126" s="32"/>
      <c r="BU126" s="32"/>
      <c r="BV126" s="32"/>
      <c r="BW126" s="32"/>
      <c r="BX126" s="32"/>
      <c r="BY126" s="32"/>
      <c r="BZ126" s="32"/>
      <c r="CA126" s="32"/>
      <c r="CB126" s="32"/>
      <c r="CC126" s="32"/>
      <c r="CD126" s="32"/>
      <c r="CE126" s="32"/>
      <c r="CF126" s="32"/>
      <c r="CG126" s="32"/>
      <c r="CH126" s="32"/>
      <c r="CI126" s="32"/>
      <c r="CJ126" s="32"/>
      <c r="CK126" s="32"/>
      <c r="CL126" s="32"/>
      <c r="CM126" s="32"/>
      <c r="CN126" s="32"/>
      <c r="CO126" s="32"/>
      <c r="CP126" s="32"/>
      <c r="CQ126" s="32"/>
      <c r="CR126" s="32"/>
      <c r="CS126" s="32"/>
      <c r="CT126" s="32"/>
      <c r="CU126" s="32"/>
      <c r="CV126" s="32"/>
      <c r="CW126" s="32"/>
      <c r="CX126" s="32"/>
    </row>
    <row r="127" customFormat="false" ht="42" hidden="false" customHeight="true" outlineLevel="0" collapsed="false">
      <c r="A127" s="71"/>
      <c r="B127" s="19" t="s">
        <v>183</v>
      </c>
      <c r="C127" s="19"/>
      <c r="D127" s="19"/>
      <c r="E127" s="19"/>
      <c r="F127" s="21" t="n">
        <f aca="false">F36+F37+F38+F39+F40+F41+F42+F43+F44+F45+F46+F47+F48+F52+F35+F49+F53+F50+F54+F51+F55</f>
        <v>10028666.10322</v>
      </c>
      <c r="G127" s="21" t="n">
        <f aca="false">G36+G37+G38+G39+G40+G41+G42+G43+G44+G45+G46+G47+G48+G52+G35+G49+G53+G50+G54+G51+G55</f>
        <v>2011090.9326</v>
      </c>
      <c r="H127" s="21" t="n">
        <f aca="false">H36+H37+H38+H39+H40+H41+H42+H43+H44+H45+H46+H47+H48+H52+H35+H49+H53+H50+H54+H51+H55</f>
        <v>50000</v>
      </c>
      <c r="I127" s="21" t="n">
        <f aca="false">I36+I37+I38+I39+I40+I41+I42+I43+I44+I45+I46+I47+I48+I52+I35+I49+I53+I50+I54+I51+I55</f>
        <v>699495.97786</v>
      </c>
      <c r="J127" s="21" t="n">
        <f aca="false">J36+J37+J38+J39+J40+J41+J42+J43+J44+J45+J46+J47+J48+J52+J35+J49+J53+J50+J54+J51+J55</f>
        <v>1721.55694</v>
      </c>
      <c r="K127" s="21" t="n">
        <f aca="false">K36+K37+K38+K39+K40+K41+K42+K43+K44+K45+K46+K47+K48+K52+K35+K49+K53+K50+K54+K51+K55</f>
        <v>1259873.3978</v>
      </c>
      <c r="L127" s="21" t="n">
        <f aca="false">L36+L37+L38+L39+L40+L41+L42+L43+L44+L45+L46+L47+L48+L52+L35+L49+L53+L50+L54+L51+L55</f>
        <v>0</v>
      </c>
      <c r="M127" s="21" t="n">
        <f aca="false">M36+M37+M38+M39+M40+M41+M42+M43+M44+M45+M46+M47+M48+M52+M35+M49+M53+M50+M54+M51+M55</f>
        <v>212507.0931</v>
      </c>
      <c r="N127" s="21" t="n">
        <f aca="false">N36+N37+N38+N39+N40+N41+N42+N43+N44+N45+N46+N47+N48+N52+N35+N49+N53+N50+N54+N51+N55</f>
        <v>0</v>
      </c>
      <c r="O127" s="21" t="n">
        <f aca="false">O36+O37+O38+O39+O40+O41+O42+O43+O44+O45+O46+O47+O48+O52+O35+O49+O53+O50+O54+O51+O55</f>
        <v>212441.62</v>
      </c>
      <c r="P127" s="21" t="n">
        <f aca="false">P36+P37+P38+P39+P40+P41+P42+P43+P44+P45+P46+P47+P48+P52+P35+P49+P53+P50+P54+P51+P55</f>
        <v>65.4730999999999</v>
      </c>
      <c r="Q127" s="21" t="n">
        <f aca="false">Q36+Q37+Q38+Q39+Q40+Q41+Q42+Q43+Q44+Q45+Q46+Q47+Q48+Q52+Q35+Q49+Q53+Q50+Q54+Q51+Q55</f>
        <v>0</v>
      </c>
      <c r="R127" s="21" t="n">
        <f aca="false">R36+R37+R38+R39+R40+R41+R42+R43+R44+R45+R46+R47+R48+R52+R35+R49+R53+R50+R54+R51+R55</f>
        <v>0</v>
      </c>
      <c r="S127" s="21" t="n">
        <f aca="false">S36+S37+S38+S39+S40+S41+S42+S43+S44+S45+S46+S47+S48+S52+S35+S49+S53+S50+S54+S51+S55</f>
        <v>614986.8324</v>
      </c>
      <c r="T127" s="21" t="n">
        <f aca="false">T36+T37+T38+T39+T40+T41+T42+T43+T44+T45+T46+T47+T48+T52+T35+T49+T53+T50+T54+T51+T55</f>
        <v>0</v>
      </c>
      <c r="U127" s="21" t="n">
        <f aca="false">U36+U37+U38+U39+U40+U41+U42+U43+U44+U45+U46+U47+U48+U52+U35+U49+U53+U50+U54+U51+U55</f>
        <v>612850.6536</v>
      </c>
      <c r="V127" s="21" t="n">
        <f aca="false">V36+V37+V38+V39+V40+V41+V42+V43+V44+V45+V46+V47+V48+V52+V35+V49+V53+V50+V54+V51+V55</f>
        <v>2136.1788</v>
      </c>
      <c r="W127" s="21" t="n">
        <f aca="false">W36+W37+W38+W39+W40+W41+W42+W43+W44+W45+W46+W47+W48+W52+W35+W49+W53+W50+W54+W51+W55</f>
        <v>0</v>
      </c>
      <c r="X127" s="21" t="n">
        <f aca="false">X36+X37+X38+X39+X40+X41+X42+X43+X44+X45+X46+X47+X48+X52+X35+X49+X53+X50+X54+X51+X55</f>
        <v>0</v>
      </c>
      <c r="Y127" s="21" t="n">
        <f aca="false">Y36+Y37+Y38+Y39+Y40+Y41+Y42+Y43+Y44+Y45+Y46+Y47+Y48+Y52+Y35+Y49+Y53+Y50+Y54+Y51+Y55</f>
        <v>7143047.24512</v>
      </c>
      <c r="Z127" s="21" t="n">
        <f aca="false">Z36+Z37+Z38+Z39+Z40+Z41+Z42+Z43+Z44+Z45+Z46+Z47+Z48+Z52+Z35+Z49+Z53+Z50+Z54+Z51+Z55</f>
        <v>0</v>
      </c>
      <c r="AA127" s="21" t="n">
        <f aca="false">AA36+AA37+AA38+AA39+AA40+AA41+AA42+AA43+AA44+AA45+AA46+AA47+AA48+AA52+AA35+AA49+AA53+AA50+AA54+AA51+AA55</f>
        <v>642508.50642</v>
      </c>
      <c r="AB127" s="21" t="n">
        <f aca="false">AB36+AB37+AB38+AB39+AB40+AB41+AB42+AB43+AB44+AB45+AB46+AB47+AB48+AB52+AB35+AB49+AB53+AB50+AB54+AB51+AB55</f>
        <v>7096.01244</v>
      </c>
      <c r="AC127" s="21" t="n">
        <f aca="false">AC36+AC37+AC38+AC39+AC40+AC41+AC42+AC43+AC44+AC45+AC46+AC47+AC48+AC52+AC35+AC49+AC53+AC50+AC54+AC51+AC55</f>
        <v>6493442.72626</v>
      </c>
      <c r="AD127" s="21" t="n">
        <f aca="false">AD36+AD37+AD38+AD39+AD40+AD41+AD42+AD43+AD44+AD45+AD46+AD47+AD48+AD52+AD35+AD49+AD53+AD50+AD54+AD51+AD55</f>
        <v>47034</v>
      </c>
      <c r="AE127" s="21" t="n">
        <f aca="false">AE36+AE37+AE38+AE39+AE40+AE41+AE42+AE43+AE44+AE45+AE46+AE47+AE48+AE52+AE35+AE49+AE53+AE50+AE54+AE51+AE55</f>
        <v>0</v>
      </c>
      <c r="AF127" s="21" t="n">
        <f aca="false">AF36+AF37+AF38+AF39+AF40+AF41+AF42+AF43+AF44+AF45+AF46+AF47+AF48+AF52+AF35+AF49+AF53+AF50+AF54+AF51+AF55</f>
        <v>47034</v>
      </c>
      <c r="AG127" s="21" t="n">
        <f aca="false">AG36+AG37+AG38+AG39+AG40+AG41+AG42+AG43+AG44+AG45+AG46+AG47+AG48+AG52+AG35+AG49+AG53+AG50+AG54+AG51+AG55</f>
        <v>0</v>
      </c>
      <c r="AH127" s="21" t="n">
        <f aca="false">AH36+AH37+AH38+AH39+AH40+AH41+AH42+AH43+AH44+AH45+AH46+AH47+AH48+AH52+AH35+AH49+AH53+AH50+AH54+AH51+AH55</f>
        <v>0</v>
      </c>
      <c r="AI127" s="72"/>
      <c r="AJ127" s="72"/>
      <c r="AK127" s="72"/>
      <c r="AL127" s="72"/>
      <c r="AM127" s="72"/>
      <c r="AN127" s="72"/>
      <c r="AO127" s="72"/>
      <c r="AP127" s="72"/>
      <c r="AQ127" s="72"/>
      <c r="AR127" s="72"/>
      <c r="AS127" s="72"/>
      <c r="AT127" s="72"/>
      <c r="AU127" s="7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2"/>
      <c r="BR127" s="32"/>
      <c r="BS127" s="32"/>
      <c r="BT127" s="32"/>
      <c r="BU127" s="32"/>
      <c r="BV127" s="32"/>
      <c r="BW127" s="32"/>
      <c r="BX127" s="32"/>
      <c r="BY127" s="32"/>
      <c r="BZ127" s="32"/>
      <c r="CA127" s="32"/>
      <c r="CB127" s="32"/>
      <c r="CC127" s="32"/>
      <c r="CD127" s="32"/>
      <c r="CE127" s="32"/>
      <c r="CF127" s="32"/>
      <c r="CG127" s="32"/>
      <c r="CH127" s="32"/>
      <c r="CI127" s="32"/>
      <c r="CJ127" s="32"/>
      <c r="CK127" s="32"/>
      <c r="CL127" s="32"/>
      <c r="CM127" s="32"/>
      <c r="CN127" s="32"/>
      <c r="CO127" s="32"/>
      <c r="CP127" s="32"/>
      <c r="CQ127" s="32"/>
      <c r="CR127" s="32"/>
      <c r="CS127" s="32"/>
      <c r="CT127" s="32"/>
      <c r="CU127" s="32"/>
      <c r="CV127" s="32"/>
      <c r="CW127" s="32"/>
      <c r="CX127" s="32"/>
    </row>
    <row r="128" s="32" customFormat="true" ht="42" hidden="false" customHeight="true" outlineLevel="0" collapsed="false">
      <c r="A128" s="71"/>
      <c r="B128" s="19" t="s">
        <v>257</v>
      </c>
      <c r="C128" s="19"/>
      <c r="D128" s="19"/>
      <c r="E128" s="19"/>
      <c r="F128" s="21" t="n">
        <f aca="false">F56+F57+F58+F60+F61+F62+F63+F64+F65+F66+F67+F69+F70+F71+F72+F74+F75+F76+F77+F78+F79+F80+F82+F83+F59+F68+F73+F81+F84+F85</f>
        <v>22597702.83367</v>
      </c>
      <c r="G128" s="21" t="n">
        <f aca="false">G56+G57+G58+G60+G61+G62+G63+G64+G65+G66+G67+G69+G70+G71+G72+G74+G75+G76+G77+G78+G79+G80+G82+G83+G59+G68+G73+G81+G84+G85</f>
        <v>7244747.66459</v>
      </c>
      <c r="H128" s="21" t="n">
        <f aca="false">H56+H57+H58+H60+H61+H62+H63+H64+H65+H66+H67+H69+H70+H71+H72+H74+H75+H76+H77+H78+H79+H80+H82+H83+H59+H68+H73+H81+H84+H85</f>
        <v>5848851.00104</v>
      </c>
      <c r="I128" s="21" t="n">
        <f aca="false">I56+I57+I58+I60+I61+I62+I63+I64+I65+I66+I67+I69+I70+I71+I72+I74+I75+I76+I77+I78+I79+I80+I82+I83+I59+I68+I73+I81+I84+I85</f>
        <v>1362431.40573</v>
      </c>
      <c r="J128" s="21" t="n">
        <f aca="false">J56+J57+J58+J60+J61+J62+J63+J64+J65+J66+J67+J69+J70+J71+J72+J74+J75+J76+J77+J78+J79+J80+J82+J83+J59+J68+J73+J81+J84+J85</f>
        <v>8463.57856</v>
      </c>
      <c r="K128" s="21" t="n">
        <f aca="false">K56+K57+K58+K60+K61+K62+K63+K64+K65+K66+K67+K69+K70+K71+K72+K74+K75+K76+K77+K78+K79+K80+K82+K83+K59+K68+K73+K81+K84+K85</f>
        <v>25001.67926</v>
      </c>
      <c r="L128" s="21" t="n">
        <f aca="false">L56+L57+L58+L60+L61+L62+L63+L64+L65+L66+L67+L69+L70+L71+L72+L74+L75+L76+L77+L78+L79+L80+L82+L83+L59+L68+L73+L81+L84+L85</f>
        <v>0</v>
      </c>
      <c r="M128" s="21" t="n">
        <f aca="false">M56+M57+M58+M60+M61+M62+M63+M64+M65+M66+M67+M69+M70+M71+M72+M74+M75+M76+M77+M78+M79+M80+M82+M83+M59+M68+M73+M81+M84+M85</f>
        <v>10901812.52908</v>
      </c>
      <c r="N128" s="21" t="n">
        <f aca="false">N56+N57+N58+N60+N61+N62+N63+N64+N65+N66+N67+N69+N70+N71+N72+N74+N75+N76+N77+N78+N79+N80+N82+N83+N59+N68+N73+N81+N84+N85</f>
        <v>4648567.54533</v>
      </c>
      <c r="O128" s="21" t="n">
        <f aca="false">O56+O57+O58+O60+O61+O62+O63+O64+O65+O66+O67+O69+O70+O71+O72+O74+O75+O76+O77+O78+O79+O80+O82+O83+O59+O68+O73+O81+O84+O85</f>
        <v>6249867.03594</v>
      </c>
      <c r="P128" s="21" t="n">
        <f aca="false">P56+P57+P58+P60+P61+P62+P63+P64+P65+P66+P67+P69+P70+P71+P72+P74+P75+P76+P77+P78+P79+P80+P82+P83+P59+P68+P73+P81+P84+P85</f>
        <v>3377.94781</v>
      </c>
      <c r="Q128" s="21" t="n">
        <f aca="false">Q56+Q57+Q58+Q60+Q61+Q62+Q63+Q64+Q65+Q66+Q67+Q69+Q70+Q71+Q72+Q74+Q75+Q76+Q77+Q78+Q79+Q80+Q82+Q83+Q59+Q68+Q73+Q81+Q84+Q85</f>
        <v>0</v>
      </c>
      <c r="R128" s="21" t="n">
        <f aca="false">R56+R57+R58+R60+R61+R62+R63+R64+R65+R66+R67+R69+R70+R71+R72+R74+R75+R76+R77+R78+R79+R80+R82+R83+R59+R68+R73+R81+R84+R85</f>
        <v>0</v>
      </c>
      <c r="S128" s="21" t="n">
        <f aca="false">S56+S57+S58+S60+S61+S62+S63+S64+S65+S66+S67+S69+S70+S71+S72+S74+S75+S76+S77+S78+S79+S80+S82+S83+S59+S68+S73+S81+S84+S85</f>
        <v>4451142.64</v>
      </c>
      <c r="T128" s="21" t="n">
        <f aca="false">T56+T57+T58+T60+T61+T62+T63+T64+T65+T66+T67+T69+T70+T71+T72+T74+T75+T76+T77+T78+T79+T80+T82+T83+T59+T68+T73+T81+T84+T85</f>
        <v>305412</v>
      </c>
      <c r="U128" s="21" t="n">
        <f aca="false">U56+U57+U58+U60+U61+U62+U63+U64+U65+U66+U67+U69+U70+U71+U72+U74+U75+U76+U77+U78+U79+U80+U82+U83+U59+U68+U73+U81+U84+U85</f>
        <v>4145730.64</v>
      </c>
      <c r="V128" s="21" t="n">
        <f aca="false">V56+V57+V58+V60+V61+V62+V63+V64+V65+V66+V67+V69+V70+V71+V72+V74+V75+V76+V77+V78+V79+V80+V82+V83+V59+V68+V73+V81+V84+V85</f>
        <v>0</v>
      </c>
      <c r="W128" s="21" t="n">
        <f aca="false">W56+W57+W58+W60+W61+W62+W63+W64+W65+W66+W67+W69+W70+W71+W72+W74+W75+W76+W77+W78+W79+W80+W82+W83+W59+W68+W73+W81+W84+W85</f>
        <v>0</v>
      </c>
      <c r="X128" s="21" t="n">
        <f aca="false">X56+X57+X58+X60+X61+X62+X63+X64+X65+X66+X67+X69+X70+X71+X72+X74+X75+X76+X77+X78+X79+X80+X82+X83+X59+X68+X73+X81+X84+X85</f>
        <v>0</v>
      </c>
      <c r="Y128" s="21" t="n">
        <f aca="false">Y56+Y57+Y58+Y60+Y61+Y62+Y63+Y64+Y65+Y66+Y67+Y69+Y70+Y71+Y72+Y74+Y75+Y76+Y77+Y78+Y79+Y80+Y82+Y83+Y59+Y68+Y73+Y81+Y84+Y85</f>
        <v>0</v>
      </c>
      <c r="Z128" s="21" t="n">
        <f aca="false">Z56+Z57+Z58+Z60+Z61+Z62+Z63+Z64+Z65+Z66+Z67+Z69+Z70+Z71+Z72+Z74+Z75+Z76+Z77+Z78+Z79+Z80+Z82+Z83+Z59+Z68+Z73+Z81+Z84+Z85</f>
        <v>0</v>
      </c>
      <c r="AA128" s="21" t="n">
        <f aca="false">AA56+AA57+AA58+AA60+AA61+AA62+AA63+AA64+AA65+AA66+AA67+AA69+AA70+AA71+AA72+AA74+AA75+AA76+AA77+AA78+AA79+AA80+AA82+AA83+AA59+AA68+AA73+AA81+AA84+AA85</f>
        <v>0</v>
      </c>
      <c r="AB128" s="21" t="n">
        <f aca="false">AB56+AB57+AB58+AB60+AB61+AB62+AB63+AB64+AB65+AB66+AB67+AB69+AB70+AB71+AB72+AB74+AB75+AB76+AB77+AB78+AB79+AB80+AB82+AB83+AB59+AB68+AB73+AB81+AB84+AB85</f>
        <v>0</v>
      </c>
      <c r="AC128" s="21" t="n">
        <f aca="false">AC56+AC57+AC58+AC60+AC61+AC62+AC63+AC64+AC65+AC66+AC67+AC69+AC70+AC71+AC72+AC74+AC75+AC76+AC77+AC78+AC79+AC80+AC82+AC83+AC59+AC68+AC73+AC81+AC84+AC85</f>
        <v>0</v>
      </c>
      <c r="AD128" s="21" t="n">
        <f aca="false">AD56+AD57+AD58+AD60+AD61+AD62+AD63+AD64+AD65+AD66+AD67+AD69+AD70+AD71+AD72+AD74+AD75+AD76+AD77+AD78+AD79+AD80+AD82+AD83+AD59+AD68+AD73+AD81+AD84+AD85</f>
        <v>0</v>
      </c>
      <c r="AE128" s="21" t="n">
        <f aca="false">AE56+AE57+AE58+AE60+AE61+AE62+AE63+AE64+AE65+AE66+AE67+AE69+AE70+AE71+AE72+AE74+AE75+AE76+AE77+AE78+AE79+AE80+AE82+AE83+AE59+AE68+AE73+AE81+AE84+AE85</f>
        <v>0</v>
      </c>
      <c r="AF128" s="21" t="n">
        <f aca="false">AF56+AF57+AF58+AF60+AF61+AF62+AF63+AF64+AF65+AF66+AF67+AF69+AF70+AF71+AF72+AF74+AF75+AF76+AF77+AF78+AF79+AF80+AF82+AF83+AF59+AF68+AF73+AF81+AF84+AF85</f>
        <v>0</v>
      </c>
      <c r="AG128" s="21" t="n">
        <f aca="false">AG56+AG57+AG58+AG60+AG61+AG62+AG63+AG64+AG65+AG66+AG67+AG69+AG70+AG71+AG72+AG74+AG75+AG76+AG77+AG78+AG79+AG80+AG82+AG83+AG59+AG68+AG73+AG81+AG84+AG85</f>
        <v>0</v>
      </c>
      <c r="AH128" s="21" t="n">
        <f aca="false">AH56+AH57+AH58+AH60+AH61+AH62+AH63+AH64+AH65+AH66+AH67+AH69+AH70+AH71+AH72+AH74+AH75+AH76+AH77+AH78+AH79+AH80+AH82+AH83+AH59+AH68+AH73+AH81+AH84+AH85</f>
        <v>0</v>
      </c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CY128" s="4"/>
      <c r="CZ128" s="4"/>
    </row>
    <row r="129" s="32" customFormat="true" ht="42" hidden="false" customHeight="true" outlineLevel="0" collapsed="false">
      <c r="A129" s="71"/>
      <c r="B129" s="19" t="s">
        <v>402</v>
      </c>
      <c r="C129" s="19"/>
      <c r="D129" s="19"/>
      <c r="E129" s="19"/>
      <c r="F129" s="21" t="n">
        <f aca="false">F87+F89+F90+F91+F92+F93+F95+F96+F97+F98+F86+F100+F102+F103+F104+F105+F106+F107+F94+F88+F99+F101</f>
        <v>8051866.83436</v>
      </c>
      <c r="G129" s="21" t="n">
        <f aca="false">G87+G89+G90+G91+G92+G93+G95+G96+G97+G98+G86+G100+G102+G103+G104+G105+G106+G107+G94+G88+G99+G101</f>
        <v>3078493.57571</v>
      </c>
      <c r="H129" s="21" t="n">
        <f aca="false">H87+H89+H90+H91+H92+H93+H95+H96+H97+H98+H86+H100+H102+H103+H104+H105+H106+H107+H94+H88+H99+H101</f>
        <v>2693006.96406</v>
      </c>
      <c r="I129" s="21" t="n">
        <f aca="false">I87+I89+I90+I91+I92+I93+I95+I96+I97+I98+I86+I100+I102+I103+I104+I105+I106+I107+I94+I88+I99+I101</f>
        <v>364959.18919</v>
      </c>
      <c r="J129" s="21" t="n">
        <f aca="false">J87+J89+J90+J91+J92+J93+J95+J96+J97+J98+J86+J100+J102+J103+J104+J105+J106+J107+J94+J88+J99+J101</f>
        <v>20527.42246</v>
      </c>
      <c r="K129" s="21" t="n">
        <f aca="false">K87+K89+K90+K91+K92+K93+K95+K96+K97+K98+K86+K100+K102+K103+K104+K105+K106+K107+K94+K88+K99+K101</f>
        <v>0</v>
      </c>
      <c r="L129" s="21" t="n">
        <f aca="false">L87+L89+L90+L91+L92+L93+L95+L96+L97+L98+L86+L100+L102+L103+L104+L105+L106+L107+L94+L88+L99+L101</f>
        <v>0</v>
      </c>
      <c r="M129" s="21" t="n">
        <f aca="false">M87+M89+M90+M91+M92+M93+M95+M96+M97+M98+M86+M100+M102+M103+M104+M105+M106+M107+M94+M88+M99+M101</f>
        <v>4349673.25865</v>
      </c>
      <c r="N129" s="21" t="n">
        <f aca="false">N87+N89+N90+N91+N92+N93+N95+N96+N97+N98+N86+N100+N102+N103+N104+N105+N106+N107+N94+N88+N99+N101</f>
        <v>719846.8</v>
      </c>
      <c r="O129" s="21" t="n">
        <f aca="false">O87+O89+O90+O91+O92+O93+O95+O96+O97+O98+O86+O100+O102+O103+O104+O105+O106+O107+O94+O88+O99+O101</f>
        <v>3629826.45865</v>
      </c>
      <c r="P129" s="21" t="n">
        <f aca="false">P87+P89+P90+P91+P92+P93+P95+P96+P97+P98+P86+P100+P102+P103+P104+P105+P106+P107+P94+P88+P99+P101</f>
        <v>0</v>
      </c>
      <c r="Q129" s="21" t="n">
        <f aca="false">Q87+Q89+Q90+Q91+Q92+Q93+Q95+Q96+Q97+Q98+Q86+Q100+Q102+Q103+Q104+Q105+Q106+Q107+Q94+Q88+Q99+Q101</f>
        <v>0</v>
      </c>
      <c r="R129" s="21" t="n">
        <f aca="false">R87+R89+R90+R91+R92+R93+R95+R96+R97+R98+R86+R100+R102+R103+R104+R105+R106+R107+R94+R88+R99+R101</f>
        <v>0</v>
      </c>
      <c r="S129" s="21" t="n">
        <f aca="false">S87+S89+S90+S91+S92+S93+S95+S96+S97+S98+S86+S100+S102+S103+S104+S105+S106+S107+S94+S88+S99+S101</f>
        <v>623700</v>
      </c>
      <c r="T129" s="21" t="n">
        <f aca="false">T87+T89+T90+T91+T92+T93+T95+T96+T97+T98+T86+T100+T102+T103+T104+T105+T106+T107+T94+T88+T99+T101</f>
        <v>0</v>
      </c>
      <c r="U129" s="21" t="n">
        <f aca="false">U87+U89+U90+U91+U92+U93+U95+U96+U97+U98+U86+U100+U102+U103+U104+U105+U106+U107+U94+U88+U99+U101</f>
        <v>623700</v>
      </c>
      <c r="V129" s="21" t="n">
        <f aca="false">V87+V89+V90+V91+V92+V93+V95+V96+V97+V98+V86+V100+V102+V103+V104+V105+V106+V107+V94+V88+V99+V101</f>
        <v>0</v>
      </c>
      <c r="W129" s="21" t="n">
        <f aca="false">W87+W89+W90+W91+W92+W93+W95+W96+W97+W98+W86+W100+W102+W103+W104+W105+W106+W107+W94+W88+W99+W101</f>
        <v>0</v>
      </c>
      <c r="X129" s="21" t="n">
        <f aca="false">X87+X89+X90+X91+X92+X93+X95+X96+X97+X98+X86+X100+X102+X103+X104+X105+X106+X107+X94+X88+X99+X101</f>
        <v>0</v>
      </c>
      <c r="Y129" s="21" t="n">
        <f aca="false">Y87+Y89+Y90+Y91+Y92+Y93+Y95+Y96+Y97+Y98+Y86+Y100+Y102+Y103+Y104+Y105+Y106+Y107+Y94+Y88+Y99+Y101</f>
        <v>0</v>
      </c>
      <c r="Z129" s="21" t="n">
        <f aca="false">Z87+Z89+Z90+Z91+Z92+Z93+Z95+Z96+Z97+Z98+Z86+Z100+Z102+Z103+Z104+Z105+Z106+Z107+Z94+Z88+Z99+Z101</f>
        <v>0</v>
      </c>
      <c r="AA129" s="21" t="n">
        <f aca="false">AA87+AA89+AA90+AA91+AA92+AA93+AA95+AA96+AA97+AA98+AA86+AA100+AA102+AA103+AA104+AA105+AA106+AA107+AA94+AA88+AA99+AA101</f>
        <v>0</v>
      </c>
      <c r="AB129" s="21" t="n">
        <f aca="false">AB87+AB89+AB90+AB91+AB92+AB93+AB95+AB96+AB97+AB98+AB86+AB100+AB102+AB103+AB104+AB105+AB106+AB107+AB94+AB88+AB99+AB101</f>
        <v>0</v>
      </c>
      <c r="AC129" s="21" t="n">
        <f aca="false">AC87+AC89+AC90+AC91+AC92+AC93+AC95+AC96+AC97+AC98+AC86+AC100+AC102+AC103+AC104+AC105+AC106+AC107+AC94+AC88+AC99+AC101</f>
        <v>0</v>
      </c>
      <c r="AD129" s="21" t="n">
        <f aca="false">AD87+AD89+AD90+AD91+AD92+AD93+AD95+AD96+AD97+AD98+AD86+AD100+AD102+AD103+AD104+AD105+AD106+AD107+AD94+AD88+AD99+AD101</f>
        <v>0</v>
      </c>
      <c r="AE129" s="21" t="n">
        <f aca="false">AE87+AE89+AE90+AE91+AE92+AE93+AE95+AE96+AE97+AE98+AE86+AE100+AE102+AE103+AE104+AE105+AE106+AE107+AE94+AE88+AE99+AE101</f>
        <v>0</v>
      </c>
      <c r="AF129" s="21" t="n">
        <f aca="false">AF87+AF89+AF90+AF91+AF92+AF93+AF95+AF96+AF97+AF98+AF86+AF100+AF102+AF103+AF104+AF105+AF106+AF107+AF94+AF88+AF99+AF101</f>
        <v>0</v>
      </c>
      <c r="AG129" s="21" t="n">
        <f aca="false">AG87+AG89+AG90+AG91+AG92+AG93+AG95+AG96+AG97+AG98+AG86+AG100+AG102+AG103+AG104+AG105+AG106+AG107+AG94+AG88+AG99+AG101</f>
        <v>0</v>
      </c>
      <c r="AH129" s="21" t="n">
        <f aca="false">AH87+AH89+AH90+AH91+AH92+AH93+AH95+AH96+AH97+AH98+AH86+AH100+AH102+AH103+AH104+AH105+AH106+AH107+AH94+AH88+AH99+AH101</f>
        <v>0</v>
      </c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  <c r="AT129" s="72"/>
      <c r="AU129" s="72"/>
      <c r="CY129" s="4"/>
      <c r="CZ129" s="4"/>
    </row>
    <row r="130" s="32" customFormat="true" ht="42" hidden="false" customHeight="true" outlineLevel="0" collapsed="false">
      <c r="A130" s="71"/>
      <c r="B130" s="19" t="s">
        <v>508</v>
      </c>
      <c r="C130" s="19"/>
      <c r="D130" s="19"/>
      <c r="E130" s="19"/>
      <c r="F130" s="21" t="n">
        <f aca="false">F108+F109+F110</f>
        <v>115437.37703</v>
      </c>
      <c r="G130" s="21" t="n">
        <f aca="false">G108+G109+G110</f>
        <v>41116.47203</v>
      </c>
      <c r="H130" s="21" t="n">
        <f aca="false">H108+H109+H110</f>
        <v>0</v>
      </c>
      <c r="I130" s="21" t="n">
        <f aca="false">I108+I109+I110</f>
        <v>41116.47203</v>
      </c>
      <c r="J130" s="21" t="n">
        <f aca="false">J108+J109+J110</f>
        <v>0</v>
      </c>
      <c r="K130" s="21" t="n">
        <f aca="false">K108+K109+K110</f>
        <v>0</v>
      </c>
      <c r="L130" s="21" t="n">
        <f aca="false">L108+L109+L110</f>
        <v>0</v>
      </c>
      <c r="M130" s="21" t="n">
        <f aca="false">M108+M109+M110</f>
        <v>74320.905</v>
      </c>
      <c r="N130" s="21" t="n">
        <f aca="false">N108+N109+N110</f>
        <v>0</v>
      </c>
      <c r="O130" s="21" t="n">
        <f aca="false">O108+O109+O110</f>
        <v>74320.905</v>
      </c>
      <c r="P130" s="21" t="n">
        <f aca="false">P108+P109+P110</f>
        <v>0</v>
      </c>
      <c r="Q130" s="21" t="n">
        <f aca="false">Q108+Q109+Q110</f>
        <v>0</v>
      </c>
      <c r="R130" s="21" t="n">
        <f aca="false">R108+R109+R110</f>
        <v>0</v>
      </c>
      <c r="S130" s="21" t="n">
        <f aca="false">S108+S109+S110</f>
        <v>0</v>
      </c>
      <c r="T130" s="21" t="n">
        <f aca="false">T108+T109+T110</f>
        <v>0</v>
      </c>
      <c r="U130" s="21" t="n">
        <f aca="false">U108+U109+U110</f>
        <v>0</v>
      </c>
      <c r="V130" s="21" t="n">
        <f aca="false">V108+V109+V110</f>
        <v>0</v>
      </c>
      <c r="W130" s="21" t="n">
        <f aca="false">W108+W109+W110</f>
        <v>0</v>
      </c>
      <c r="X130" s="21" t="n">
        <f aca="false">X108+X109+X110</f>
        <v>0</v>
      </c>
      <c r="Y130" s="21" t="n">
        <f aca="false">Y108+Y109+Y110</f>
        <v>0</v>
      </c>
      <c r="Z130" s="21" t="n">
        <f aca="false">Z108+Z109+Z110</f>
        <v>0</v>
      </c>
      <c r="AA130" s="21" t="n">
        <f aca="false">AA108+AA109+AA110</f>
        <v>0</v>
      </c>
      <c r="AB130" s="21" t="n">
        <f aca="false">AB108+AB109+AB110</f>
        <v>0</v>
      </c>
      <c r="AC130" s="21" t="n">
        <f aca="false">AC108+AC109+AC110</f>
        <v>0</v>
      </c>
      <c r="AD130" s="21" t="n">
        <f aca="false">AD108+AD109+AD110</f>
        <v>0</v>
      </c>
      <c r="AE130" s="21" t="n">
        <f aca="false">AE108+AE109+AE110</f>
        <v>0</v>
      </c>
      <c r="AF130" s="21" t="n">
        <f aca="false">AF108+AF109+AF110</f>
        <v>0</v>
      </c>
      <c r="AG130" s="21" t="n">
        <f aca="false">AG108+AG109+AG110</f>
        <v>0</v>
      </c>
      <c r="AH130" s="21" t="n">
        <f aca="false">AH108+AH109+AH110</f>
        <v>0</v>
      </c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  <c r="AT130" s="72"/>
      <c r="AU130" s="72"/>
      <c r="CY130" s="4"/>
      <c r="CZ130" s="4"/>
    </row>
    <row r="131" s="32" customFormat="true" ht="42" hidden="false" customHeight="true" outlineLevel="0" collapsed="false">
      <c r="A131" s="71"/>
      <c r="B131" s="19" t="s">
        <v>526</v>
      </c>
      <c r="C131" s="19"/>
      <c r="D131" s="19"/>
      <c r="E131" s="19"/>
      <c r="F131" s="21" t="n">
        <f aca="false">F111+F112</f>
        <v>46239.71587</v>
      </c>
      <c r="G131" s="21" t="n">
        <f aca="false">G111+G112</f>
        <v>46239.71587</v>
      </c>
      <c r="H131" s="21" t="n">
        <f aca="false">H111+H112</f>
        <v>0</v>
      </c>
      <c r="I131" s="21" t="n">
        <f aca="false">I111+I112</f>
        <v>46223.47615</v>
      </c>
      <c r="J131" s="21" t="n">
        <f aca="false">J111+J112</f>
        <v>16.23972</v>
      </c>
      <c r="K131" s="21" t="n">
        <f aca="false">K111+K112</f>
        <v>0</v>
      </c>
      <c r="L131" s="21" t="n">
        <f aca="false">L111+L112</f>
        <v>0</v>
      </c>
      <c r="M131" s="21" t="n">
        <f aca="false">M111+M112</f>
        <v>0</v>
      </c>
      <c r="N131" s="21" t="n">
        <f aca="false">N111+N112</f>
        <v>0</v>
      </c>
      <c r="O131" s="21" t="n">
        <f aca="false">O111+O112</f>
        <v>0</v>
      </c>
      <c r="P131" s="21" t="n">
        <f aca="false">P111+P112</f>
        <v>0</v>
      </c>
      <c r="Q131" s="21" t="n">
        <f aca="false">Q111+Q112</f>
        <v>0</v>
      </c>
      <c r="R131" s="21" t="n">
        <f aca="false">R111+R112</f>
        <v>0</v>
      </c>
      <c r="S131" s="21" t="n">
        <f aca="false">S111+S112</f>
        <v>0</v>
      </c>
      <c r="T131" s="21" t="n">
        <f aca="false">T111+T112</f>
        <v>0</v>
      </c>
      <c r="U131" s="21" t="n">
        <f aca="false">U111+U112</f>
        <v>0</v>
      </c>
      <c r="V131" s="21" t="n">
        <f aca="false">V111+V112</f>
        <v>0</v>
      </c>
      <c r="W131" s="21" t="n">
        <f aca="false">W111+W112</f>
        <v>0</v>
      </c>
      <c r="X131" s="21" t="n">
        <f aca="false">X111+X112</f>
        <v>0</v>
      </c>
      <c r="Y131" s="21" t="n">
        <f aca="false">Y111+Y112</f>
        <v>0</v>
      </c>
      <c r="Z131" s="21" t="n">
        <f aca="false">Z111+Z112</f>
        <v>0</v>
      </c>
      <c r="AA131" s="21" t="n">
        <f aca="false">AA111+AA112</f>
        <v>0</v>
      </c>
      <c r="AB131" s="21" t="n">
        <f aca="false">AB111+AB112</f>
        <v>0</v>
      </c>
      <c r="AC131" s="21" t="n">
        <f aca="false">AC111+AC112</f>
        <v>0</v>
      </c>
      <c r="AD131" s="21" t="n">
        <f aca="false">AD111+AD112</f>
        <v>0</v>
      </c>
      <c r="AE131" s="21" t="n">
        <f aca="false">AE111+AE112</f>
        <v>0</v>
      </c>
      <c r="AF131" s="21" t="n">
        <f aca="false">AF111+AF112</f>
        <v>0</v>
      </c>
      <c r="AG131" s="21" t="n">
        <f aca="false">AG111+AG112</f>
        <v>0</v>
      </c>
      <c r="AH131" s="21" t="n">
        <f aca="false">AH111+AH112</f>
        <v>0</v>
      </c>
      <c r="AI131" s="72"/>
      <c r="AJ131" s="72"/>
      <c r="AK131" s="72"/>
      <c r="AL131" s="72"/>
      <c r="AM131" s="72"/>
      <c r="AN131" s="72"/>
      <c r="AO131" s="72"/>
      <c r="AP131" s="72"/>
      <c r="AQ131" s="72"/>
      <c r="AR131" s="72"/>
      <c r="AS131" s="72"/>
      <c r="AT131" s="72"/>
      <c r="AU131" s="72"/>
      <c r="CY131" s="4"/>
      <c r="CZ131" s="4"/>
    </row>
    <row r="132" s="32" customFormat="true" ht="42" hidden="false" customHeight="true" outlineLevel="0" collapsed="false">
      <c r="A132" s="71"/>
      <c r="B132" s="19" t="s">
        <v>538</v>
      </c>
      <c r="C132" s="19"/>
      <c r="D132" s="19"/>
      <c r="E132" s="19"/>
      <c r="F132" s="21" t="n">
        <f aca="false">F113+F114</f>
        <v>1385316.30333667</v>
      </c>
      <c r="G132" s="21" t="n">
        <f aca="false">G113+G114</f>
        <v>39082.07</v>
      </c>
      <c r="H132" s="21" t="n">
        <f aca="false">H113+H114</f>
        <v>20000</v>
      </c>
      <c r="I132" s="21" t="n">
        <f aca="false">I113+I114</f>
        <v>19082.07</v>
      </c>
      <c r="J132" s="21" t="n">
        <f aca="false">J113+J114</f>
        <v>0</v>
      </c>
      <c r="K132" s="21" t="n">
        <f aca="false">K113+K114</f>
        <v>0</v>
      </c>
      <c r="L132" s="21" t="n">
        <f aca="false">L113+L114</f>
        <v>0</v>
      </c>
      <c r="M132" s="21" t="n">
        <f aca="false">M113+M114</f>
        <v>693939.4</v>
      </c>
      <c r="N132" s="21" t="n">
        <f aca="false">N113+N114</f>
        <v>687000</v>
      </c>
      <c r="O132" s="21" t="n">
        <f aca="false">O113+O114</f>
        <v>6939.4</v>
      </c>
      <c r="P132" s="21" t="n">
        <f aca="false">P113+P114</f>
        <v>0</v>
      </c>
      <c r="Q132" s="21" t="n">
        <f aca="false">Q113+Q114</f>
        <v>0</v>
      </c>
      <c r="R132" s="21" t="n">
        <f aca="false">R113+R114</f>
        <v>0</v>
      </c>
      <c r="S132" s="21" t="n">
        <f aca="false">S113+S114</f>
        <v>202861.5</v>
      </c>
      <c r="T132" s="21" t="n">
        <f aca="false">T113+T114</f>
        <v>178518.1</v>
      </c>
      <c r="U132" s="21" t="n">
        <f aca="false">U113+U114</f>
        <v>24343.4</v>
      </c>
      <c r="V132" s="21" t="n">
        <f aca="false">V113+V114</f>
        <v>0</v>
      </c>
      <c r="W132" s="21" t="n">
        <f aca="false">W113+W114</f>
        <v>0</v>
      </c>
      <c r="X132" s="21" t="n">
        <f aca="false">X113+X114</f>
        <v>0</v>
      </c>
      <c r="Y132" s="21" t="n">
        <f aca="false">Y113+Y114</f>
        <v>89886.66667</v>
      </c>
      <c r="Z132" s="21" t="n">
        <f aca="false">Z113+Z114</f>
        <v>88987.8</v>
      </c>
      <c r="AA132" s="21" t="n">
        <f aca="false">AA113+AA114</f>
        <v>898.86667</v>
      </c>
      <c r="AB132" s="21" t="n">
        <f aca="false">AB113+AB114</f>
        <v>0</v>
      </c>
      <c r="AC132" s="21" t="n">
        <f aca="false">AC113+AC114</f>
        <v>0</v>
      </c>
      <c r="AD132" s="21" t="n">
        <f aca="false">AD113+AD114</f>
        <v>359546.666666667</v>
      </c>
      <c r="AE132" s="21" t="n">
        <f aca="false">AE113+AE114</f>
        <v>355951.2</v>
      </c>
      <c r="AF132" s="21" t="n">
        <f aca="false">AF113+AF114</f>
        <v>3595.46666666667</v>
      </c>
      <c r="AG132" s="21" t="n">
        <f aca="false">AG113+AG114</f>
        <v>0</v>
      </c>
      <c r="AH132" s="21" t="n">
        <f aca="false">AH113+AH114</f>
        <v>0</v>
      </c>
      <c r="AI132" s="72"/>
      <c r="AJ132" s="72"/>
      <c r="AK132" s="72"/>
      <c r="AL132" s="72"/>
      <c r="AM132" s="72"/>
      <c r="AN132" s="72"/>
      <c r="AO132" s="72"/>
      <c r="AP132" s="72"/>
      <c r="AQ132" s="72"/>
      <c r="AR132" s="72"/>
      <c r="AS132" s="72"/>
      <c r="AT132" s="72"/>
      <c r="AU132" s="72"/>
      <c r="CY132" s="4"/>
      <c r="CZ132" s="4"/>
    </row>
    <row r="133" s="32" customFormat="true" ht="42" hidden="false" customHeight="true" outlineLevel="0" collapsed="false">
      <c r="A133" s="71"/>
      <c r="B133" s="19" t="s">
        <v>547</v>
      </c>
      <c r="C133" s="19"/>
      <c r="D133" s="19"/>
      <c r="E133" s="19"/>
      <c r="F133" s="21" t="n">
        <f aca="false">F115+F116+F117+F118</f>
        <v>2023279.94095</v>
      </c>
      <c r="G133" s="21" t="n">
        <f aca="false">G115+G116+G117+G118</f>
        <v>588459.60465</v>
      </c>
      <c r="H133" s="21" t="n">
        <f aca="false">H115+H116+H117+H118</f>
        <v>465860.4</v>
      </c>
      <c r="I133" s="21" t="n">
        <f aca="false">I115+I116+I117+I118</f>
        <v>20683.42163</v>
      </c>
      <c r="J133" s="21" t="n">
        <f aca="false">J115+J116+J117+J118</f>
        <v>101915.78302</v>
      </c>
      <c r="K133" s="21" t="n">
        <f aca="false">K115+K116+K117+K118</f>
        <v>0</v>
      </c>
      <c r="L133" s="21" t="n">
        <f aca="false">L115+L116+L117+L118</f>
        <v>0</v>
      </c>
      <c r="M133" s="21" t="n">
        <f aca="false">M115+M116+M117+M118</f>
        <v>959813.6363</v>
      </c>
      <c r="N133" s="21" t="n">
        <f aca="false">N115+N116+N117+N118</f>
        <v>634265.5</v>
      </c>
      <c r="O133" s="21" t="n">
        <f aca="false">O115+O116+O117+O118</f>
        <v>4361.03235</v>
      </c>
      <c r="P133" s="21" t="n">
        <f aca="false">P115+P116+P117+P118</f>
        <v>120593.5535</v>
      </c>
      <c r="Q133" s="21" t="n">
        <f aca="false">Q115+Q116+Q117+Q118</f>
        <v>0</v>
      </c>
      <c r="R133" s="21" t="n">
        <f aca="false">R115+R116+R117+R118</f>
        <v>200593.55045</v>
      </c>
      <c r="S133" s="21" t="n">
        <f aca="false">S115+S116+S117+S118</f>
        <v>475006.7</v>
      </c>
      <c r="T133" s="21" t="n">
        <f aca="false">T115+T116+T117+T118</f>
        <v>475006.7</v>
      </c>
      <c r="U133" s="21" t="n">
        <f aca="false">U115+U116+U117+U118</f>
        <v>0</v>
      </c>
      <c r="V133" s="21" t="n">
        <f aca="false">V115+V116+V117+V118</f>
        <v>0</v>
      </c>
      <c r="W133" s="21" t="n">
        <f aca="false">W115+W116+W117+W118</f>
        <v>0</v>
      </c>
      <c r="X133" s="21" t="n">
        <f aca="false">X115+X116+X117+X118</f>
        <v>0</v>
      </c>
      <c r="Y133" s="21" t="n">
        <f aca="false">Y115+Y116+Y117+Y118</f>
        <v>0</v>
      </c>
      <c r="Z133" s="21" t="n">
        <f aca="false">Z115+Z116+Z117+Z118</f>
        <v>0</v>
      </c>
      <c r="AA133" s="21" t="n">
        <f aca="false">AA115+AA116+AA117+AA118</f>
        <v>0</v>
      </c>
      <c r="AB133" s="21" t="n">
        <f aca="false">AB115+AB116+AB117+AB118</f>
        <v>0</v>
      </c>
      <c r="AC133" s="21" t="n">
        <f aca="false">AC115+AC116+AC117+AC118</f>
        <v>0</v>
      </c>
      <c r="AD133" s="21" t="n">
        <f aca="false">AD115+AD116+AD117+AD118</f>
        <v>0</v>
      </c>
      <c r="AE133" s="21" t="n">
        <f aca="false">AE115+AE116+AE117+AE118</f>
        <v>0</v>
      </c>
      <c r="AF133" s="21" t="n">
        <f aca="false">AF115+AF116+AF117+AF118</f>
        <v>0</v>
      </c>
      <c r="AG133" s="21" t="n">
        <f aca="false">AG115+AG116+AG117+AG118</f>
        <v>0</v>
      </c>
      <c r="AH133" s="21" t="n">
        <f aca="false">AH115+AH116+AH117+AH118</f>
        <v>0</v>
      </c>
      <c r="AI133" s="72"/>
      <c r="AJ133" s="72"/>
      <c r="AK133" s="72"/>
      <c r="AL133" s="72"/>
      <c r="AM133" s="72"/>
      <c r="AN133" s="72"/>
      <c r="AO133" s="72"/>
      <c r="AP133" s="72"/>
      <c r="AQ133" s="72"/>
      <c r="AR133" s="72"/>
      <c r="AS133" s="72"/>
      <c r="AT133" s="72"/>
      <c r="AU133" s="72"/>
      <c r="CY133" s="4"/>
      <c r="CZ133" s="4"/>
    </row>
    <row r="134" s="32" customFormat="true" ht="42" hidden="false" customHeight="true" outlineLevel="0" collapsed="false">
      <c r="A134" s="71"/>
      <c r="B134" s="22" t="s">
        <v>574</v>
      </c>
      <c r="C134" s="22"/>
      <c r="D134" s="22"/>
      <c r="E134" s="22"/>
      <c r="F134" s="21" t="n">
        <f aca="false">F119+F120</f>
        <v>34647.25647</v>
      </c>
      <c r="G134" s="21" t="n">
        <f aca="false">G119+G120</f>
        <v>34647.25647</v>
      </c>
      <c r="H134" s="21" t="n">
        <f aca="false">H119+H120</f>
        <v>0</v>
      </c>
      <c r="I134" s="21" t="n">
        <f aca="false">I119+I120</f>
        <v>34647.25647</v>
      </c>
      <c r="J134" s="21" t="n">
        <f aca="false">J119+J120</f>
        <v>0</v>
      </c>
      <c r="K134" s="21" t="n">
        <f aca="false">K119+K120</f>
        <v>0</v>
      </c>
      <c r="L134" s="21" t="n">
        <f aca="false">L119+L120</f>
        <v>0</v>
      </c>
      <c r="M134" s="21" t="n">
        <f aca="false">M119+M120</f>
        <v>0</v>
      </c>
      <c r="N134" s="21" t="n">
        <f aca="false">N119+N120</f>
        <v>0</v>
      </c>
      <c r="O134" s="21" t="n">
        <f aca="false">O119+O120</f>
        <v>0</v>
      </c>
      <c r="P134" s="21" t="n">
        <f aca="false">P119+P120</f>
        <v>0</v>
      </c>
      <c r="Q134" s="21" t="n">
        <f aca="false">Q119+Q120</f>
        <v>0</v>
      </c>
      <c r="R134" s="21" t="n">
        <f aca="false">R119+R120</f>
        <v>0</v>
      </c>
      <c r="S134" s="21" t="n">
        <f aca="false">S119+S120</f>
        <v>0</v>
      </c>
      <c r="T134" s="21" t="n">
        <f aca="false">T119+T120</f>
        <v>0</v>
      </c>
      <c r="U134" s="21" t="n">
        <f aca="false">U119+U120</f>
        <v>0</v>
      </c>
      <c r="V134" s="21" t="n">
        <f aca="false">V119+V120</f>
        <v>0</v>
      </c>
      <c r="W134" s="21" t="n">
        <f aca="false">W119+W120</f>
        <v>0</v>
      </c>
      <c r="X134" s="21" t="n">
        <f aca="false">X119+X120</f>
        <v>0</v>
      </c>
      <c r="Y134" s="21" t="n">
        <f aca="false">Y119+Y120</f>
        <v>0</v>
      </c>
      <c r="Z134" s="21" t="n">
        <f aca="false">Z119+Z120</f>
        <v>0</v>
      </c>
      <c r="AA134" s="21" t="n">
        <f aca="false">AA119+AA120</f>
        <v>0</v>
      </c>
      <c r="AB134" s="21" t="n">
        <f aca="false">AB119+AB120</f>
        <v>0</v>
      </c>
      <c r="AC134" s="21" t="n">
        <f aca="false">AC119+AC120</f>
        <v>0</v>
      </c>
      <c r="AD134" s="21" t="n">
        <f aca="false">AD119+AD120</f>
        <v>0</v>
      </c>
      <c r="AE134" s="21" t="n">
        <f aca="false">AE119+AE120</f>
        <v>0</v>
      </c>
      <c r="AF134" s="21" t="n">
        <f aca="false">AF119+AF120</f>
        <v>0</v>
      </c>
      <c r="AG134" s="21" t="n">
        <f aca="false">AG119+AG120</f>
        <v>0</v>
      </c>
      <c r="AH134" s="21" t="n">
        <f aca="false">AH119+AH120</f>
        <v>0</v>
      </c>
      <c r="AI134" s="72"/>
      <c r="AJ134" s="72"/>
      <c r="AK134" s="72"/>
      <c r="AL134" s="72"/>
      <c r="AM134" s="72"/>
      <c r="AN134" s="72"/>
      <c r="AO134" s="72"/>
      <c r="AP134" s="72"/>
      <c r="AQ134" s="72"/>
      <c r="AR134" s="72"/>
      <c r="AS134" s="72"/>
      <c r="AT134" s="72"/>
      <c r="AU134" s="72"/>
      <c r="CY134" s="4"/>
      <c r="CZ134" s="4"/>
    </row>
    <row r="135" s="32" customFormat="true" ht="15" hidden="false" customHeight="false" outlineLevel="0" collapsed="false">
      <c r="A135" s="73"/>
      <c r="B135" s="74"/>
      <c r="C135" s="74"/>
      <c r="D135" s="74"/>
      <c r="E135" s="74"/>
      <c r="F135" s="75"/>
      <c r="G135" s="75"/>
      <c r="H135" s="75"/>
      <c r="I135" s="76"/>
      <c r="J135" s="76"/>
      <c r="K135" s="76"/>
      <c r="L135" s="75"/>
      <c r="M135" s="75"/>
      <c r="N135" s="75"/>
      <c r="O135" s="77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5"/>
      <c r="AB135" s="78"/>
      <c r="AC135" s="78"/>
      <c r="AD135" s="75"/>
      <c r="AE135" s="75"/>
      <c r="AF135" s="75"/>
      <c r="AG135" s="75"/>
      <c r="AH135" s="75"/>
      <c r="AI135" s="72"/>
      <c r="AJ135" s="72"/>
      <c r="AK135" s="72"/>
      <c r="AL135" s="72"/>
      <c r="AM135" s="72"/>
      <c r="AN135" s="72"/>
      <c r="AO135" s="72"/>
      <c r="AP135" s="72"/>
      <c r="AQ135" s="72"/>
      <c r="AR135" s="72"/>
      <c r="AS135" s="72"/>
      <c r="AT135" s="72"/>
      <c r="AU135" s="72"/>
      <c r="CY135" s="4"/>
      <c r="CZ135" s="4"/>
    </row>
    <row r="136" s="32" customFormat="true" ht="15" hidden="false" customHeight="false" outlineLevel="0" collapsed="false">
      <c r="A136" s="73"/>
      <c r="B136" s="74"/>
      <c r="C136" s="74"/>
      <c r="D136" s="74"/>
      <c r="E136" s="74"/>
      <c r="F136" s="75"/>
      <c r="G136" s="75"/>
      <c r="H136" s="75"/>
      <c r="I136" s="76"/>
      <c r="J136" s="76"/>
      <c r="K136" s="76"/>
      <c r="L136" s="75"/>
      <c r="M136" s="75"/>
      <c r="N136" s="75"/>
      <c r="O136" s="77"/>
      <c r="P136" s="75"/>
      <c r="Q136" s="75"/>
      <c r="R136" s="75"/>
      <c r="S136" s="75"/>
      <c r="T136" s="75"/>
      <c r="U136" s="75"/>
      <c r="V136" s="75"/>
      <c r="W136" s="75"/>
      <c r="X136" s="75"/>
      <c r="Y136" s="75"/>
      <c r="Z136" s="75"/>
      <c r="AA136" s="75"/>
      <c r="AB136" s="78"/>
      <c r="AC136" s="78"/>
      <c r="AD136" s="75"/>
      <c r="AE136" s="75"/>
      <c r="AF136" s="75"/>
      <c r="AG136" s="75"/>
      <c r="AH136" s="75"/>
      <c r="AI136" s="72"/>
      <c r="AJ136" s="72"/>
      <c r="AK136" s="72"/>
      <c r="AL136" s="72"/>
      <c r="AM136" s="72"/>
      <c r="AN136" s="72"/>
      <c r="AO136" s="72"/>
      <c r="AP136" s="72"/>
      <c r="AQ136" s="72"/>
      <c r="AR136" s="72"/>
      <c r="AS136" s="72"/>
      <c r="AT136" s="72"/>
      <c r="AU136" s="72"/>
      <c r="CY136" s="4"/>
      <c r="CZ136" s="4"/>
    </row>
    <row r="137" s="32" customFormat="true" ht="15" hidden="false" customHeight="false" outlineLevel="0" collapsed="false">
      <c r="A137" s="73"/>
      <c r="B137" s="74"/>
      <c r="C137" s="74"/>
      <c r="D137" s="74"/>
      <c r="E137" s="74"/>
      <c r="F137" s="75"/>
      <c r="G137" s="75"/>
      <c r="H137" s="75"/>
      <c r="I137" s="76"/>
      <c r="J137" s="76"/>
      <c r="K137" s="76"/>
      <c r="L137" s="75"/>
      <c r="M137" s="75"/>
      <c r="N137" s="75"/>
      <c r="O137" s="77"/>
      <c r="P137" s="75"/>
      <c r="Q137" s="75"/>
      <c r="R137" s="75"/>
      <c r="S137" s="75"/>
      <c r="T137" s="75"/>
      <c r="U137" s="75"/>
      <c r="V137" s="75"/>
      <c r="W137" s="75"/>
      <c r="X137" s="75"/>
      <c r="Y137" s="75"/>
      <c r="Z137" s="75"/>
      <c r="AA137" s="75"/>
      <c r="AB137" s="78"/>
      <c r="AC137" s="78"/>
      <c r="AD137" s="75"/>
      <c r="AE137" s="75"/>
      <c r="AF137" s="75"/>
      <c r="AG137" s="75"/>
      <c r="AH137" s="75"/>
      <c r="AI137" s="72"/>
      <c r="AJ137" s="72"/>
      <c r="AK137" s="72"/>
      <c r="AL137" s="72"/>
      <c r="AM137" s="72"/>
      <c r="AN137" s="72"/>
      <c r="AO137" s="72"/>
      <c r="AP137" s="72"/>
      <c r="AQ137" s="72"/>
      <c r="AR137" s="72"/>
      <c r="AS137" s="72"/>
      <c r="AT137" s="72"/>
      <c r="AU137" s="72"/>
      <c r="CY137" s="4"/>
      <c r="CZ137" s="4"/>
    </row>
    <row r="138" s="32" customFormat="true" ht="15" hidden="false" customHeight="false" outlineLevel="0" collapsed="false">
      <c r="A138" s="73"/>
      <c r="B138" s="74"/>
      <c r="C138" s="74"/>
      <c r="D138" s="74"/>
      <c r="E138" s="74"/>
      <c r="F138" s="75"/>
      <c r="G138" s="75"/>
      <c r="H138" s="75"/>
      <c r="I138" s="76"/>
      <c r="J138" s="76"/>
      <c r="K138" s="76"/>
      <c r="L138" s="75"/>
      <c r="M138" s="75"/>
      <c r="N138" s="75"/>
      <c r="O138" s="77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  <c r="AB138" s="78"/>
      <c r="AC138" s="78"/>
      <c r="AD138" s="75"/>
      <c r="AE138" s="75"/>
      <c r="AF138" s="75"/>
      <c r="AG138" s="75"/>
      <c r="AH138" s="75"/>
      <c r="AI138" s="72"/>
      <c r="AJ138" s="72"/>
      <c r="AK138" s="72"/>
      <c r="AL138" s="72"/>
      <c r="AM138" s="72"/>
      <c r="AN138" s="72"/>
      <c r="AO138" s="72"/>
      <c r="AP138" s="72"/>
      <c r="AQ138" s="72"/>
      <c r="AR138" s="72"/>
      <c r="AS138" s="72"/>
      <c r="AT138" s="72"/>
      <c r="AU138" s="72"/>
      <c r="CY138" s="4"/>
      <c r="CZ138" s="4"/>
    </row>
    <row r="139" s="32" customFormat="true" ht="15" hidden="false" customHeight="false" outlineLevel="0" collapsed="false">
      <c r="A139" s="73"/>
      <c r="B139" s="74"/>
      <c r="C139" s="74"/>
      <c r="D139" s="74"/>
      <c r="E139" s="74"/>
      <c r="F139" s="75"/>
      <c r="G139" s="75"/>
      <c r="H139" s="75"/>
      <c r="I139" s="76"/>
      <c r="J139" s="76"/>
      <c r="K139" s="76"/>
      <c r="L139" s="75"/>
      <c r="M139" s="75"/>
      <c r="N139" s="75"/>
      <c r="O139" s="77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75"/>
      <c r="AB139" s="78"/>
      <c r="AC139" s="78"/>
      <c r="AD139" s="75"/>
      <c r="AE139" s="75"/>
      <c r="AF139" s="75"/>
      <c r="AG139" s="75"/>
      <c r="AH139" s="75"/>
      <c r="AI139" s="72"/>
      <c r="AJ139" s="72"/>
      <c r="AK139" s="72"/>
      <c r="AL139" s="72"/>
      <c r="AM139" s="72"/>
      <c r="AN139" s="72"/>
      <c r="AO139" s="72"/>
      <c r="AP139" s="72"/>
      <c r="AQ139" s="72"/>
      <c r="AR139" s="72"/>
      <c r="AS139" s="72"/>
      <c r="AT139" s="72"/>
      <c r="AU139" s="72"/>
      <c r="CY139" s="4"/>
      <c r="CZ139" s="4"/>
    </row>
    <row r="140" s="32" customFormat="true" ht="15" hidden="false" customHeight="false" outlineLevel="0" collapsed="false">
      <c r="A140" s="73"/>
      <c r="B140" s="72"/>
      <c r="C140" s="74"/>
      <c r="D140" s="72"/>
      <c r="E140" s="72"/>
      <c r="F140" s="75"/>
      <c r="G140" s="75"/>
      <c r="H140" s="75"/>
      <c r="I140" s="76"/>
      <c r="J140" s="76"/>
      <c r="K140" s="76"/>
      <c r="L140" s="75"/>
      <c r="M140" s="75"/>
      <c r="N140" s="75"/>
      <c r="O140" s="77"/>
      <c r="P140" s="75"/>
      <c r="Q140" s="75"/>
      <c r="R140" s="75"/>
      <c r="S140" s="75"/>
      <c r="T140" s="75"/>
      <c r="U140" s="75"/>
      <c r="V140" s="75"/>
      <c r="W140" s="75"/>
      <c r="X140" s="75"/>
      <c r="Y140" s="75"/>
      <c r="Z140" s="75"/>
      <c r="AA140" s="75"/>
      <c r="AB140" s="78"/>
      <c r="AC140" s="78"/>
      <c r="AD140" s="75"/>
      <c r="AE140" s="75"/>
      <c r="AF140" s="75"/>
      <c r="AG140" s="75"/>
      <c r="AH140" s="75"/>
      <c r="AI140" s="72"/>
      <c r="AJ140" s="72"/>
      <c r="AK140" s="72"/>
      <c r="AL140" s="72"/>
      <c r="AM140" s="72"/>
      <c r="AN140" s="72"/>
      <c r="AO140" s="72"/>
      <c r="AP140" s="72"/>
      <c r="AQ140" s="72"/>
      <c r="AR140" s="72"/>
      <c r="AS140" s="72"/>
      <c r="AT140" s="72"/>
      <c r="AU140" s="72"/>
      <c r="CY140" s="4"/>
      <c r="CZ140" s="4"/>
    </row>
    <row r="141" s="32" customFormat="true" ht="15" hidden="false" customHeight="false" outlineLevel="0" collapsed="false">
      <c r="A141" s="73"/>
      <c r="B141" s="72"/>
      <c r="C141" s="74"/>
      <c r="D141" s="72"/>
      <c r="E141" s="72"/>
      <c r="F141" s="75"/>
      <c r="G141" s="75"/>
      <c r="H141" s="75"/>
      <c r="I141" s="76"/>
      <c r="J141" s="76"/>
      <c r="K141" s="76"/>
      <c r="L141" s="75"/>
      <c r="M141" s="75"/>
      <c r="N141" s="75"/>
      <c r="O141" s="77"/>
      <c r="P141" s="75"/>
      <c r="Q141" s="75"/>
      <c r="R141" s="75"/>
      <c r="S141" s="75"/>
      <c r="T141" s="75"/>
      <c r="U141" s="75"/>
      <c r="V141" s="75"/>
      <c r="W141" s="75"/>
      <c r="X141" s="75"/>
      <c r="Y141" s="75"/>
      <c r="Z141" s="75"/>
      <c r="AA141" s="75"/>
      <c r="AB141" s="78"/>
      <c r="AC141" s="78"/>
      <c r="AD141" s="75"/>
      <c r="AE141" s="75"/>
      <c r="AF141" s="75"/>
      <c r="AG141" s="75"/>
      <c r="AH141" s="75"/>
      <c r="AI141" s="72"/>
      <c r="AJ141" s="72"/>
      <c r="AK141" s="72"/>
      <c r="AL141" s="72"/>
      <c r="AM141" s="72"/>
      <c r="AN141" s="72"/>
      <c r="AO141" s="72"/>
      <c r="AP141" s="72"/>
      <c r="AQ141" s="72"/>
      <c r="AR141" s="72"/>
      <c r="AS141" s="72"/>
      <c r="AT141" s="72"/>
      <c r="AU141" s="72"/>
      <c r="CY141" s="4"/>
      <c r="CZ141" s="4"/>
    </row>
    <row r="142" s="32" customFormat="true" ht="15" hidden="false" customHeight="false" outlineLevel="0" collapsed="false">
      <c r="A142" s="73"/>
      <c r="B142" s="72"/>
      <c r="C142" s="74"/>
      <c r="D142" s="72"/>
      <c r="E142" s="72"/>
      <c r="F142" s="75"/>
      <c r="G142" s="75"/>
      <c r="H142" s="75"/>
      <c r="I142" s="76"/>
      <c r="J142" s="76"/>
      <c r="K142" s="76"/>
      <c r="L142" s="75"/>
      <c r="M142" s="75"/>
      <c r="N142" s="75"/>
      <c r="O142" s="77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75"/>
      <c r="AB142" s="78"/>
      <c r="AC142" s="78"/>
      <c r="AD142" s="75"/>
      <c r="AE142" s="75"/>
      <c r="AF142" s="75"/>
      <c r="AG142" s="75"/>
      <c r="AH142" s="75"/>
      <c r="AI142" s="72"/>
      <c r="AJ142" s="72"/>
      <c r="AK142" s="72"/>
      <c r="AL142" s="72"/>
      <c r="AM142" s="72"/>
      <c r="AN142" s="72"/>
      <c r="AO142" s="72"/>
      <c r="AP142" s="72"/>
      <c r="AQ142" s="72"/>
      <c r="AR142" s="72"/>
      <c r="AS142" s="72"/>
      <c r="AT142" s="72"/>
      <c r="AU142" s="72"/>
      <c r="CY142" s="4"/>
      <c r="CZ142" s="4"/>
    </row>
    <row r="143" s="32" customFormat="true" ht="15" hidden="false" customHeight="false" outlineLevel="0" collapsed="false">
      <c r="A143" s="73"/>
      <c r="B143" s="72"/>
      <c r="C143" s="74"/>
      <c r="D143" s="72"/>
      <c r="E143" s="72"/>
      <c r="F143" s="75"/>
      <c r="G143" s="75"/>
      <c r="H143" s="75"/>
      <c r="I143" s="76"/>
      <c r="J143" s="76"/>
      <c r="K143" s="76"/>
      <c r="L143" s="75"/>
      <c r="M143" s="75"/>
      <c r="N143" s="75"/>
      <c r="O143" s="77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8"/>
      <c r="AC143" s="78"/>
      <c r="AD143" s="75"/>
      <c r="AE143" s="75"/>
      <c r="AF143" s="75"/>
      <c r="AG143" s="75"/>
      <c r="AH143" s="75"/>
      <c r="AI143" s="72"/>
      <c r="AJ143" s="72"/>
      <c r="AK143" s="72"/>
      <c r="AL143" s="72"/>
      <c r="AM143" s="72"/>
      <c r="AN143" s="72"/>
      <c r="AO143" s="72"/>
      <c r="AP143" s="72"/>
      <c r="AQ143" s="72"/>
      <c r="AR143" s="72"/>
      <c r="AS143" s="72"/>
      <c r="AT143" s="72"/>
      <c r="AU143" s="72"/>
      <c r="CY143" s="4"/>
      <c r="CZ143" s="4"/>
    </row>
    <row r="144" s="32" customFormat="true" ht="15" hidden="false" customHeight="false" outlineLevel="0" collapsed="false">
      <c r="A144" s="73"/>
      <c r="B144" s="72"/>
      <c r="C144" s="74"/>
      <c r="D144" s="72"/>
      <c r="E144" s="72"/>
      <c r="F144" s="75"/>
      <c r="G144" s="75"/>
      <c r="H144" s="75"/>
      <c r="I144" s="76"/>
      <c r="J144" s="76"/>
      <c r="K144" s="76"/>
      <c r="L144" s="75"/>
      <c r="M144" s="75"/>
      <c r="N144" s="75"/>
      <c r="O144" s="77"/>
      <c r="P144" s="75"/>
      <c r="Q144" s="75"/>
      <c r="R144" s="75"/>
      <c r="S144" s="75"/>
      <c r="T144" s="75"/>
      <c r="U144" s="75"/>
      <c r="V144" s="75"/>
      <c r="W144" s="75"/>
      <c r="X144" s="75"/>
      <c r="Y144" s="75"/>
      <c r="Z144" s="75"/>
      <c r="AA144" s="75"/>
      <c r="AB144" s="78"/>
      <c r="AC144" s="78"/>
      <c r="AD144" s="75"/>
      <c r="AE144" s="75"/>
      <c r="AF144" s="75"/>
      <c r="AG144" s="75"/>
      <c r="AH144" s="75"/>
      <c r="AI144" s="72"/>
      <c r="AJ144" s="72"/>
      <c r="AK144" s="72"/>
      <c r="AL144" s="72"/>
      <c r="AM144" s="72"/>
      <c r="AN144" s="72"/>
      <c r="AO144" s="72"/>
      <c r="AP144" s="72"/>
      <c r="AQ144" s="72"/>
      <c r="AR144" s="72"/>
      <c r="AS144" s="72"/>
      <c r="AT144" s="72"/>
      <c r="AU144" s="72"/>
      <c r="CY144" s="4"/>
      <c r="CZ144" s="4"/>
    </row>
    <row r="145" s="32" customFormat="true" ht="15" hidden="false" customHeight="false" outlineLevel="0" collapsed="false">
      <c r="A145" s="73"/>
      <c r="B145" s="72"/>
      <c r="C145" s="74"/>
      <c r="D145" s="72"/>
      <c r="E145" s="72"/>
      <c r="F145" s="75"/>
      <c r="G145" s="75"/>
      <c r="H145" s="75"/>
      <c r="I145" s="76"/>
      <c r="J145" s="76"/>
      <c r="K145" s="76"/>
      <c r="L145" s="75"/>
      <c r="M145" s="75"/>
      <c r="N145" s="75"/>
      <c r="O145" s="77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8"/>
      <c r="AC145" s="78"/>
      <c r="AD145" s="75"/>
      <c r="AE145" s="75"/>
      <c r="AF145" s="75"/>
      <c r="AG145" s="75"/>
      <c r="AH145" s="75"/>
      <c r="AI145" s="72"/>
      <c r="AJ145" s="72"/>
      <c r="AK145" s="72"/>
      <c r="AL145" s="72"/>
      <c r="AM145" s="72"/>
      <c r="AN145" s="72"/>
      <c r="AO145" s="72"/>
      <c r="AP145" s="72"/>
      <c r="AQ145" s="72"/>
      <c r="AR145" s="72"/>
      <c r="AS145" s="72"/>
      <c r="AT145" s="72"/>
      <c r="AU145" s="72"/>
      <c r="CY145" s="4"/>
      <c r="CZ145" s="4"/>
    </row>
    <row r="146" s="32" customFormat="true" ht="15" hidden="false" customHeight="false" outlineLevel="0" collapsed="false">
      <c r="A146" s="73"/>
      <c r="B146" s="72"/>
      <c r="C146" s="74"/>
      <c r="D146" s="72"/>
      <c r="E146" s="72"/>
      <c r="F146" s="75"/>
      <c r="G146" s="75"/>
      <c r="H146" s="75"/>
      <c r="I146" s="76"/>
      <c r="J146" s="76"/>
      <c r="K146" s="76"/>
      <c r="L146" s="75"/>
      <c r="M146" s="75"/>
      <c r="N146" s="75"/>
      <c r="O146" s="77"/>
      <c r="P146" s="75"/>
      <c r="Q146" s="75"/>
      <c r="R146" s="75"/>
      <c r="S146" s="75"/>
      <c r="T146" s="75"/>
      <c r="U146" s="75"/>
      <c r="V146" s="75"/>
      <c r="W146" s="75"/>
      <c r="X146" s="75"/>
      <c r="Y146" s="75"/>
      <c r="Z146" s="75"/>
      <c r="AA146" s="75"/>
      <c r="AB146" s="78"/>
      <c r="AC146" s="78"/>
      <c r="AD146" s="75"/>
      <c r="AE146" s="75"/>
      <c r="AF146" s="75"/>
      <c r="AG146" s="75"/>
      <c r="AH146" s="75"/>
      <c r="AI146" s="72"/>
      <c r="AJ146" s="72"/>
      <c r="AK146" s="72"/>
      <c r="AL146" s="72"/>
      <c r="AM146" s="72"/>
      <c r="AN146" s="72"/>
      <c r="AO146" s="72"/>
      <c r="AP146" s="72"/>
      <c r="AQ146" s="72"/>
      <c r="AR146" s="72"/>
      <c r="AS146" s="72"/>
      <c r="AT146" s="72"/>
      <c r="AU146" s="72"/>
      <c r="CY146" s="4"/>
      <c r="CZ146" s="4"/>
    </row>
    <row r="147" s="32" customFormat="true" ht="15" hidden="false" customHeight="false" outlineLevel="0" collapsed="false">
      <c r="A147" s="73"/>
      <c r="B147" s="72"/>
      <c r="C147" s="74"/>
      <c r="D147" s="72"/>
      <c r="E147" s="72"/>
      <c r="F147" s="75"/>
      <c r="G147" s="75"/>
      <c r="H147" s="75"/>
      <c r="I147" s="76"/>
      <c r="J147" s="76"/>
      <c r="K147" s="76"/>
      <c r="L147" s="75"/>
      <c r="M147" s="75"/>
      <c r="N147" s="75"/>
      <c r="O147" s="77"/>
      <c r="P147" s="75"/>
      <c r="Q147" s="75"/>
      <c r="R147" s="75"/>
      <c r="S147" s="75"/>
      <c r="T147" s="75"/>
      <c r="U147" s="75"/>
      <c r="V147" s="75"/>
      <c r="W147" s="75"/>
      <c r="X147" s="75"/>
      <c r="Y147" s="75"/>
      <c r="Z147" s="75"/>
      <c r="AA147" s="75"/>
      <c r="AB147" s="78"/>
      <c r="AC147" s="78"/>
      <c r="AD147" s="75"/>
      <c r="AE147" s="75"/>
      <c r="AF147" s="75"/>
      <c r="AG147" s="75"/>
      <c r="AH147" s="75"/>
      <c r="AI147" s="72"/>
      <c r="AJ147" s="72"/>
      <c r="AK147" s="72"/>
      <c r="AL147" s="72"/>
      <c r="AM147" s="72"/>
      <c r="AN147" s="72"/>
      <c r="AO147" s="72"/>
      <c r="AP147" s="72"/>
      <c r="AQ147" s="72"/>
      <c r="AR147" s="72"/>
      <c r="AS147" s="72"/>
      <c r="AT147" s="72"/>
      <c r="AU147" s="72"/>
      <c r="CY147" s="4"/>
      <c r="CZ147" s="4"/>
    </row>
    <row r="148" s="32" customFormat="true" ht="15" hidden="false" customHeight="false" outlineLevel="0" collapsed="false">
      <c r="A148" s="73"/>
      <c r="B148" s="72"/>
      <c r="C148" s="74"/>
      <c r="D148" s="72"/>
      <c r="E148" s="72"/>
      <c r="F148" s="75"/>
      <c r="G148" s="75"/>
      <c r="H148" s="75"/>
      <c r="L148" s="75"/>
      <c r="M148" s="75"/>
      <c r="N148" s="75"/>
      <c r="O148" s="74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  <c r="AB148" s="78"/>
      <c r="AC148" s="78"/>
      <c r="AD148" s="75"/>
      <c r="AE148" s="75"/>
      <c r="AF148" s="75"/>
      <c r="AG148" s="75"/>
      <c r="AH148" s="75"/>
      <c r="AI148" s="72"/>
      <c r="AJ148" s="72"/>
      <c r="AK148" s="72"/>
      <c r="AL148" s="72"/>
      <c r="AM148" s="72"/>
      <c r="AN148" s="72"/>
      <c r="AO148" s="72"/>
      <c r="AP148" s="72"/>
      <c r="AQ148" s="72"/>
      <c r="AR148" s="72"/>
      <c r="AS148" s="72"/>
      <c r="AT148" s="72"/>
      <c r="AU148" s="72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</row>
    <row r="149" s="32" customFormat="true" ht="15" hidden="false" customHeight="false" outlineLevel="0" collapsed="false">
      <c r="A149" s="73"/>
      <c r="B149" s="72"/>
      <c r="C149" s="72"/>
      <c r="D149" s="72"/>
      <c r="E149" s="72"/>
      <c r="F149" s="75"/>
      <c r="G149" s="74"/>
      <c r="H149" s="74"/>
      <c r="I149" s="74"/>
      <c r="L149" s="75"/>
      <c r="M149" s="75"/>
      <c r="N149" s="75"/>
      <c r="O149" s="79"/>
      <c r="P149" s="78"/>
      <c r="Q149" s="74"/>
      <c r="R149" s="74"/>
      <c r="S149" s="74"/>
      <c r="T149" s="74"/>
      <c r="U149" s="74"/>
      <c r="V149" s="74"/>
      <c r="W149" s="75"/>
      <c r="X149" s="75"/>
      <c r="Y149" s="75"/>
      <c r="Z149" s="75"/>
      <c r="AA149" s="75"/>
      <c r="AB149" s="78"/>
      <c r="AC149" s="78"/>
      <c r="AD149" s="75"/>
      <c r="AE149" s="75"/>
      <c r="AF149" s="75"/>
      <c r="AG149" s="75"/>
      <c r="AH149" s="75"/>
      <c r="AI149" s="72"/>
      <c r="AJ149" s="72"/>
      <c r="AK149" s="72"/>
      <c r="AL149" s="72"/>
      <c r="AM149" s="72"/>
      <c r="AN149" s="72"/>
      <c r="AO149" s="72"/>
      <c r="AP149" s="72"/>
      <c r="AQ149" s="72"/>
      <c r="AR149" s="72"/>
      <c r="AS149" s="72"/>
      <c r="AT149" s="72"/>
      <c r="AU149" s="72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</row>
    <row r="150" s="32" customFormat="true" ht="40.5" hidden="false" customHeight="true" outlineLevel="0" collapsed="false">
      <c r="A150" s="73"/>
      <c r="B150" s="72"/>
      <c r="C150" s="72"/>
      <c r="D150" s="72"/>
      <c r="E150" s="72"/>
      <c r="F150" s="75"/>
      <c r="G150" s="77"/>
      <c r="H150" s="77"/>
      <c r="I150" s="77"/>
      <c r="L150" s="75"/>
      <c r="M150" s="75"/>
      <c r="N150" s="75"/>
      <c r="O150" s="79"/>
      <c r="P150" s="77"/>
      <c r="Q150" s="77"/>
      <c r="R150" s="77"/>
      <c r="S150" s="77"/>
      <c r="T150" s="77"/>
      <c r="U150" s="77"/>
      <c r="V150" s="77"/>
      <c r="W150" s="75"/>
      <c r="X150" s="75"/>
      <c r="Y150" s="75"/>
      <c r="Z150" s="75"/>
      <c r="AA150" s="75"/>
      <c r="AB150" s="78"/>
      <c r="AC150" s="78"/>
      <c r="AD150" s="75"/>
      <c r="AE150" s="75"/>
      <c r="AF150" s="75"/>
      <c r="AG150" s="75"/>
      <c r="AH150" s="75"/>
      <c r="AI150" s="72"/>
      <c r="AJ150" s="72"/>
      <c r="AK150" s="72"/>
      <c r="AL150" s="72"/>
      <c r="AM150" s="72"/>
      <c r="AN150" s="72"/>
      <c r="AO150" s="72"/>
      <c r="AP150" s="72"/>
      <c r="AQ150" s="72"/>
      <c r="AR150" s="72"/>
      <c r="AS150" s="72"/>
      <c r="AT150" s="72"/>
      <c r="AU150" s="72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</row>
    <row r="151" s="32" customFormat="true" ht="15" hidden="false" customHeight="false" outlineLevel="0" collapsed="false">
      <c r="A151" s="73"/>
      <c r="B151" s="72"/>
      <c r="C151" s="72"/>
      <c r="D151" s="72"/>
      <c r="E151" s="72"/>
      <c r="F151" s="80"/>
      <c r="G151" s="81"/>
      <c r="H151" s="82"/>
      <c r="I151" s="81"/>
      <c r="L151" s="80"/>
      <c r="M151" s="80"/>
      <c r="N151" s="80"/>
      <c r="O151" s="83"/>
      <c r="P151" s="84"/>
      <c r="Q151" s="81"/>
      <c r="R151" s="81"/>
      <c r="S151" s="81"/>
      <c r="T151" s="81"/>
      <c r="U151" s="81"/>
      <c r="V151" s="81"/>
      <c r="W151" s="75"/>
      <c r="X151" s="75"/>
      <c r="Y151" s="75"/>
      <c r="Z151" s="75"/>
      <c r="AA151" s="75"/>
      <c r="AB151" s="78"/>
      <c r="AC151" s="78"/>
      <c r="AD151" s="75"/>
      <c r="AE151" s="75"/>
      <c r="AF151" s="75"/>
      <c r="AG151" s="75"/>
      <c r="AH151" s="75"/>
      <c r="AI151" s="72"/>
      <c r="AJ151" s="72"/>
      <c r="AK151" s="72"/>
      <c r="AL151" s="72"/>
      <c r="AM151" s="72"/>
      <c r="AN151" s="72"/>
      <c r="AO151" s="72"/>
      <c r="AP151" s="72"/>
      <c r="AQ151" s="72"/>
      <c r="AR151" s="72"/>
      <c r="AS151" s="72"/>
      <c r="AT151" s="72"/>
      <c r="AU151" s="72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</row>
    <row r="152" s="32" customFormat="true" ht="15" hidden="false" customHeight="false" outlineLevel="0" collapsed="false">
      <c r="A152" s="73"/>
      <c r="B152" s="72"/>
      <c r="C152" s="72"/>
      <c r="D152" s="72"/>
      <c r="E152" s="72"/>
      <c r="F152" s="80"/>
      <c r="G152" s="81"/>
      <c r="H152" s="82"/>
      <c r="I152" s="81"/>
      <c r="J152" s="75"/>
      <c r="K152" s="75"/>
      <c r="L152" s="80"/>
      <c r="M152" s="80"/>
      <c r="N152" s="80"/>
      <c r="O152" s="83"/>
      <c r="P152" s="84"/>
      <c r="Q152" s="81"/>
      <c r="R152" s="81"/>
      <c r="S152" s="81"/>
      <c r="T152" s="81"/>
      <c r="U152" s="81"/>
      <c r="V152" s="81"/>
      <c r="W152" s="75"/>
      <c r="X152" s="75"/>
      <c r="Y152" s="75"/>
      <c r="Z152" s="75"/>
      <c r="AA152" s="75"/>
      <c r="AB152" s="78"/>
      <c r="AC152" s="78"/>
      <c r="AD152" s="75"/>
      <c r="AE152" s="75"/>
      <c r="AF152" s="75"/>
      <c r="AG152" s="75"/>
      <c r="AH152" s="75"/>
      <c r="AI152" s="72"/>
      <c r="AJ152" s="72"/>
      <c r="AK152" s="72"/>
      <c r="AL152" s="72"/>
      <c r="AM152" s="72"/>
      <c r="AN152" s="72"/>
      <c r="AO152" s="72"/>
      <c r="AP152" s="72"/>
      <c r="AQ152" s="72"/>
      <c r="AR152" s="72"/>
      <c r="AS152" s="72"/>
      <c r="AT152" s="72"/>
      <c r="AU152" s="72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</row>
    <row r="153" customFormat="false" ht="15.75" hidden="false" customHeight="false" outlineLevel="0" collapsed="false">
      <c r="A153" s="73"/>
      <c r="B153" s="72"/>
      <c r="C153" s="72"/>
      <c r="D153" s="72"/>
      <c r="E153" s="72"/>
      <c r="F153" s="80"/>
      <c r="G153" s="81"/>
      <c r="H153" s="82"/>
      <c r="I153" s="81"/>
      <c r="J153" s="75"/>
      <c r="K153" s="75"/>
      <c r="L153" s="80"/>
      <c r="M153" s="80"/>
      <c r="N153" s="80"/>
      <c r="O153" s="83"/>
      <c r="P153" s="84"/>
      <c r="Q153" s="81"/>
      <c r="R153" s="81"/>
      <c r="S153" s="81"/>
      <c r="T153" s="81"/>
      <c r="U153" s="81"/>
      <c r="V153" s="81"/>
      <c r="W153" s="75"/>
      <c r="X153" s="75"/>
      <c r="Y153" s="75"/>
      <c r="Z153" s="75"/>
      <c r="AA153" s="75"/>
      <c r="AB153" s="78"/>
      <c r="AC153" s="78"/>
      <c r="AD153" s="75"/>
      <c r="AE153" s="75"/>
      <c r="AF153" s="75"/>
      <c r="AG153" s="75"/>
      <c r="AH153" s="75"/>
      <c r="AI153" s="72"/>
      <c r="AJ153" s="72"/>
      <c r="AK153" s="72"/>
      <c r="AL153" s="72"/>
      <c r="AM153" s="72"/>
      <c r="AN153" s="72"/>
      <c r="AO153" s="72"/>
      <c r="AP153" s="72"/>
      <c r="AQ153" s="72"/>
      <c r="AR153" s="72"/>
      <c r="AS153" s="72"/>
      <c r="AT153" s="72"/>
      <c r="AU153" s="72"/>
    </row>
    <row r="154" customFormat="false" ht="15.75" hidden="false" customHeight="false" outlineLevel="0" collapsed="false">
      <c r="A154" s="73"/>
      <c r="B154" s="72"/>
      <c r="C154" s="72"/>
      <c r="D154" s="72"/>
      <c r="E154" s="72"/>
      <c r="F154" s="80"/>
      <c r="G154" s="81"/>
      <c r="H154" s="82"/>
      <c r="I154" s="81"/>
      <c r="J154" s="75"/>
      <c r="K154" s="75"/>
      <c r="L154" s="80"/>
      <c r="M154" s="80"/>
      <c r="N154" s="80"/>
      <c r="O154" s="83"/>
      <c r="P154" s="84"/>
      <c r="Q154" s="81"/>
      <c r="R154" s="81"/>
      <c r="S154" s="81"/>
      <c r="T154" s="81"/>
      <c r="U154" s="81"/>
      <c r="V154" s="81"/>
      <c r="W154" s="75"/>
      <c r="X154" s="75"/>
      <c r="Y154" s="75"/>
      <c r="Z154" s="75"/>
      <c r="AA154" s="75"/>
      <c r="AB154" s="78"/>
      <c r="AC154" s="78"/>
      <c r="AD154" s="75"/>
      <c r="AE154" s="75"/>
      <c r="AF154" s="75"/>
      <c r="AG154" s="75"/>
      <c r="AH154" s="75"/>
      <c r="AI154" s="72"/>
      <c r="AJ154" s="72"/>
      <c r="AK154" s="72"/>
      <c r="AL154" s="72"/>
      <c r="AM154" s="72"/>
      <c r="AN154" s="72"/>
      <c r="AO154" s="72"/>
      <c r="AP154" s="72"/>
      <c r="AQ154" s="72"/>
      <c r="AR154" s="72"/>
      <c r="AS154" s="72"/>
      <c r="AT154" s="72"/>
      <c r="AU154" s="72"/>
    </row>
    <row r="155" customFormat="false" ht="15.75" hidden="false" customHeight="false" outlineLevel="0" collapsed="false">
      <c r="A155" s="73"/>
      <c r="B155" s="72"/>
      <c r="C155" s="72"/>
      <c r="D155" s="72"/>
      <c r="E155" s="72"/>
      <c r="F155" s="80"/>
      <c r="G155" s="81"/>
      <c r="H155" s="82"/>
      <c r="I155" s="81"/>
      <c r="J155" s="75"/>
      <c r="K155" s="75"/>
      <c r="L155" s="80"/>
      <c r="M155" s="80"/>
      <c r="N155" s="80"/>
      <c r="O155" s="83"/>
      <c r="P155" s="84"/>
      <c r="Q155" s="81"/>
      <c r="R155" s="81"/>
      <c r="S155" s="81"/>
      <c r="T155" s="81"/>
      <c r="U155" s="81"/>
      <c r="V155" s="81"/>
      <c r="W155" s="75"/>
      <c r="X155" s="75"/>
      <c r="Y155" s="75"/>
      <c r="Z155" s="75"/>
      <c r="AA155" s="75"/>
      <c r="AB155" s="78"/>
      <c r="AC155" s="78"/>
      <c r="AD155" s="75"/>
      <c r="AE155" s="75"/>
      <c r="AF155" s="75"/>
      <c r="AG155" s="75"/>
      <c r="AH155" s="75"/>
      <c r="AI155" s="72"/>
      <c r="AJ155" s="72"/>
      <c r="AK155" s="72"/>
      <c r="AL155" s="72"/>
      <c r="AM155" s="72"/>
      <c r="AN155" s="72"/>
      <c r="AO155" s="72"/>
      <c r="AP155" s="72"/>
      <c r="AQ155" s="72"/>
      <c r="AR155" s="72"/>
      <c r="AS155" s="72"/>
      <c r="AT155" s="72"/>
      <c r="AU155" s="72"/>
    </row>
    <row r="156" customFormat="false" ht="15.75" hidden="false" customHeight="false" outlineLevel="0" collapsed="false">
      <c r="A156" s="73"/>
      <c r="B156" s="72"/>
      <c r="C156" s="72"/>
      <c r="D156" s="72"/>
      <c r="E156" s="72"/>
      <c r="F156" s="80"/>
      <c r="G156" s="81"/>
      <c r="H156" s="82"/>
      <c r="I156" s="81"/>
      <c r="J156" s="75"/>
      <c r="K156" s="75"/>
      <c r="L156" s="80"/>
      <c r="M156" s="80"/>
      <c r="N156" s="80"/>
      <c r="O156" s="83"/>
      <c r="P156" s="84"/>
      <c r="Q156" s="81"/>
      <c r="R156" s="81"/>
      <c r="S156" s="81"/>
      <c r="T156" s="81"/>
      <c r="U156" s="81"/>
      <c r="V156" s="81"/>
      <c r="W156" s="75"/>
      <c r="X156" s="75"/>
      <c r="Y156" s="75"/>
      <c r="Z156" s="75"/>
      <c r="AA156" s="75"/>
      <c r="AB156" s="78"/>
      <c r="AC156" s="78"/>
      <c r="AD156" s="75"/>
      <c r="AE156" s="75"/>
      <c r="AF156" s="75"/>
      <c r="AG156" s="75"/>
      <c r="AH156" s="75"/>
      <c r="AI156" s="72"/>
      <c r="AJ156" s="72"/>
      <c r="AK156" s="72"/>
      <c r="AL156" s="72"/>
      <c r="AM156" s="72"/>
      <c r="AN156" s="72"/>
      <c r="AO156" s="72"/>
      <c r="AP156" s="72"/>
      <c r="AQ156" s="72"/>
      <c r="AR156" s="72"/>
      <c r="AS156" s="72"/>
      <c r="AT156" s="72"/>
      <c r="AU156" s="72"/>
    </row>
    <row r="157" customFormat="false" ht="15.75" hidden="false" customHeight="false" outlineLevel="0" collapsed="false">
      <c r="A157" s="73"/>
      <c r="B157" s="72"/>
      <c r="C157" s="72"/>
      <c r="D157" s="72"/>
      <c r="E157" s="72"/>
      <c r="F157" s="80"/>
      <c r="G157" s="81"/>
      <c r="H157" s="82"/>
      <c r="I157" s="81"/>
      <c r="J157" s="75"/>
      <c r="K157" s="75"/>
      <c r="L157" s="80"/>
      <c r="M157" s="80"/>
      <c r="N157" s="80"/>
      <c r="O157" s="83"/>
      <c r="P157" s="84"/>
      <c r="Q157" s="81"/>
      <c r="R157" s="81"/>
      <c r="S157" s="81"/>
      <c r="T157" s="81"/>
      <c r="U157" s="81"/>
      <c r="V157" s="81"/>
      <c r="W157" s="75"/>
      <c r="X157" s="75"/>
      <c r="Y157" s="75"/>
      <c r="Z157" s="75"/>
      <c r="AA157" s="75"/>
      <c r="AB157" s="78"/>
      <c r="AC157" s="78"/>
      <c r="AD157" s="75"/>
      <c r="AE157" s="75"/>
      <c r="AF157" s="75"/>
      <c r="AG157" s="75"/>
      <c r="AH157" s="75"/>
      <c r="AI157" s="72"/>
      <c r="AJ157" s="72"/>
      <c r="AK157" s="72"/>
      <c r="AL157" s="72"/>
      <c r="AM157" s="72"/>
      <c r="AN157" s="72"/>
      <c r="AO157" s="72"/>
      <c r="AP157" s="72"/>
      <c r="AQ157" s="72"/>
      <c r="AR157" s="72"/>
      <c r="AS157" s="72"/>
      <c r="AT157" s="72"/>
      <c r="AU157" s="72"/>
    </row>
    <row r="158" customFormat="false" ht="15.75" hidden="false" customHeight="false" outlineLevel="0" collapsed="false">
      <c r="A158" s="73"/>
      <c r="B158" s="72"/>
      <c r="C158" s="72"/>
      <c r="D158" s="72"/>
      <c r="E158" s="72"/>
      <c r="F158" s="80"/>
      <c r="G158" s="81"/>
      <c r="H158" s="82"/>
      <c r="I158" s="81"/>
      <c r="J158" s="75"/>
      <c r="K158" s="75"/>
      <c r="L158" s="80"/>
      <c r="M158" s="80"/>
      <c r="N158" s="80"/>
      <c r="O158" s="83"/>
      <c r="P158" s="84"/>
      <c r="Q158" s="81"/>
      <c r="R158" s="81"/>
      <c r="S158" s="81"/>
      <c r="T158" s="81"/>
      <c r="U158" s="81"/>
      <c r="V158" s="81"/>
      <c r="W158" s="75"/>
      <c r="X158" s="75"/>
      <c r="Y158" s="75"/>
      <c r="Z158" s="75"/>
      <c r="AA158" s="75"/>
      <c r="AB158" s="78"/>
      <c r="AC158" s="78"/>
      <c r="AD158" s="75"/>
      <c r="AE158" s="75"/>
      <c r="AF158" s="75"/>
      <c r="AG158" s="75"/>
      <c r="AH158" s="75"/>
      <c r="AI158" s="72"/>
      <c r="AJ158" s="72"/>
      <c r="AK158" s="72"/>
      <c r="AL158" s="72"/>
      <c r="AM158" s="72"/>
      <c r="AN158" s="72"/>
      <c r="AO158" s="72"/>
      <c r="AP158" s="72"/>
      <c r="AQ158" s="72"/>
      <c r="AR158" s="72"/>
      <c r="AS158" s="72"/>
      <c r="AT158" s="72"/>
      <c r="AU158" s="72"/>
    </row>
    <row r="159" customFormat="false" ht="15.75" hidden="false" customHeight="false" outlineLevel="0" collapsed="false">
      <c r="A159" s="73"/>
      <c r="B159" s="72"/>
      <c r="C159" s="72"/>
      <c r="D159" s="72"/>
      <c r="E159" s="72"/>
      <c r="F159" s="80"/>
      <c r="G159" s="81"/>
      <c r="H159" s="82"/>
      <c r="I159" s="81"/>
      <c r="J159" s="75"/>
      <c r="K159" s="75"/>
      <c r="L159" s="80"/>
      <c r="M159" s="80"/>
      <c r="N159" s="80"/>
      <c r="O159" s="83"/>
      <c r="P159" s="84"/>
      <c r="Q159" s="81"/>
      <c r="R159" s="81"/>
      <c r="S159" s="81"/>
      <c r="T159" s="81"/>
      <c r="U159" s="81"/>
      <c r="V159" s="81"/>
      <c r="W159" s="75"/>
      <c r="X159" s="75"/>
      <c r="Y159" s="75"/>
      <c r="Z159" s="75"/>
      <c r="AA159" s="75"/>
      <c r="AB159" s="78"/>
      <c r="AC159" s="78"/>
      <c r="AD159" s="75"/>
      <c r="AE159" s="75"/>
      <c r="AF159" s="75"/>
      <c r="AG159" s="75"/>
      <c r="AH159" s="75"/>
      <c r="AI159" s="72"/>
      <c r="AJ159" s="72"/>
      <c r="AK159" s="72"/>
      <c r="AL159" s="72"/>
      <c r="AM159" s="72"/>
      <c r="AN159" s="72"/>
      <c r="AO159" s="72"/>
      <c r="AP159" s="72"/>
      <c r="AQ159" s="72"/>
      <c r="AR159" s="72"/>
      <c r="AS159" s="72"/>
      <c r="AT159" s="72"/>
      <c r="AU159" s="72"/>
    </row>
    <row r="160" customFormat="false" ht="15.75" hidden="false" customHeight="false" outlineLevel="0" collapsed="false">
      <c r="A160" s="73"/>
      <c r="B160" s="72"/>
      <c r="C160" s="85"/>
      <c r="D160" s="78"/>
      <c r="E160" s="78"/>
      <c r="F160" s="86"/>
      <c r="G160" s="87"/>
      <c r="H160" s="87"/>
      <c r="I160" s="87"/>
      <c r="J160" s="75"/>
      <c r="K160" s="75"/>
      <c r="L160" s="86"/>
      <c r="M160" s="86"/>
      <c r="N160" s="86"/>
      <c r="O160" s="88"/>
      <c r="P160" s="89"/>
      <c r="Q160" s="87"/>
      <c r="R160" s="87"/>
      <c r="S160" s="87"/>
      <c r="T160" s="87"/>
      <c r="U160" s="87"/>
      <c r="V160" s="87"/>
      <c r="W160" s="75"/>
      <c r="X160" s="75"/>
      <c r="Y160" s="75"/>
      <c r="Z160" s="75"/>
      <c r="AA160" s="75"/>
      <c r="AB160" s="78"/>
      <c r="AC160" s="78"/>
      <c r="AD160" s="75"/>
      <c r="AE160" s="75"/>
      <c r="AF160" s="75"/>
      <c r="AG160" s="75"/>
      <c r="AH160" s="75"/>
      <c r="AI160" s="72"/>
      <c r="AJ160" s="72"/>
      <c r="AK160" s="72"/>
      <c r="AL160" s="72"/>
      <c r="AM160" s="72"/>
      <c r="AN160" s="72"/>
      <c r="AO160" s="72"/>
      <c r="AP160" s="72"/>
      <c r="AQ160" s="72"/>
      <c r="AR160" s="72"/>
      <c r="AS160" s="72"/>
      <c r="AT160" s="72"/>
      <c r="AU160" s="72"/>
    </row>
    <row r="161" customFormat="false" ht="15.75" hidden="false" customHeight="false" outlineLevel="0" collapsed="false">
      <c r="A161" s="73"/>
      <c r="B161" s="72"/>
      <c r="C161" s="72"/>
      <c r="D161" s="72"/>
      <c r="E161" s="72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8"/>
      <c r="AC161" s="78"/>
      <c r="AD161" s="75"/>
      <c r="AE161" s="75"/>
      <c r="AF161" s="75"/>
      <c r="AG161" s="75"/>
      <c r="AH161" s="75"/>
      <c r="AI161" s="72"/>
      <c r="AJ161" s="72"/>
      <c r="AK161" s="72"/>
      <c r="AL161" s="72"/>
      <c r="AM161" s="72"/>
      <c r="AN161" s="72"/>
      <c r="AO161" s="72"/>
      <c r="AP161" s="72"/>
      <c r="AQ161" s="72"/>
      <c r="AR161" s="72"/>
      <c r="AS161" s="72"/>
      <c r="AT161" s="72"/>
      <c r="AU161" s="72"/>
    </row>
    <row r="162" customFormat="false" ht="15.75" hidden="false" customHeight="false" outlineLevel="0" collapsed="false">
      <c r="A162" s="73"/>
      <c r="B162" s="72"/>
      <c r="C162" s="72"/>
      <c r="D162" s="72"/>
      <c r="E162" s="72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8"/>
      <c r="AC162" s="78"/>
      <c r="AD162" s="75"/>
      <c r="AE162" s="75"/>
      <c r="AF162" s="75"/>
      <c r="AG162" s="75"/>
      <c r="AH162" s="75"/>
      <c r="AI162" s="72"/>
      <c r="AJ162" s="72"/>
      <c r="AK162" s="72"/>
      <c r="AL162" s="72"/>
      <c r="AM162" s="72"/>
      <c r="AN162" s="72"/>
      <c r="AO162" s="72"/>
      <c r="AP162" s="72"/>
      <c r="AQ162" s="72"/>
      <c r="AR162" s="72"/>
      <c r="AS162" s="72"/>
      <c r="AT162" s="72"/>
      <c r="AU162" s="72"/>
    </row>
    <row r="163" customFormat="false" ht="15.75" hidden="false" customHeight="false" outlineLevel="0" collapsed="false">
      <c r="A163" s="73"/>
      <c r="B163" s="72"/>
      <c r="C163" s="72"/>
      <c r="D163" s="72"/>
      <c r="E163" s="72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8"/>
      <c r="AC163" s="78"/>
      <c r="AD163" s="75"/>
      <c r="AE163" s="75"/>
      <c r="AF163" s="75"/>
      <c r="AG163" s="75"/>
      <c r="AH163" s="75"/>
      <c r="AI163" s="72"/>
      <c r="AJ163" s="72"/>
      <c r="AK163" s="72"/>
      <c r="AL163" s="72"/>
      <c r="AM163" s="72"/>
      <c r="AN163" s="72"/>
      <c r="AO163" s="72"/>
      <c r="AP163" s="72"/>
      <c r="AQ163" s="72"/>
      <c r="AR163" s="72"/>
      <c r="AS163" s="72"/>
      <c r="AT163" s="72"/>
      <c r="AU163" s="72"/>
    </row>
    <row r="164" customFormat="false" ht="15.75" hidden="false" customHeight="false" outlineLevel="0" collapsed="false">
      <c r="A164" s="73"/>
      <c r="B164" s="72"/>
      <c r="C164" s="72"/>
      <c r="D164" s="72"/>
      <c r="E164" s="72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8"/>
      <c r="AC164" s="78"/>
      <c r="AD164" s="75"/>
      <c r="AE164" s="75"/>
      <c r="AF164" s="75"/>
      <c r="AG164" s="75"/>
      <c r="AH164" s="75"/>
      <c r="AI164" s="72"/>
      <c r="AJ164" s="72"/>
      <c r="AK164" s="72"/>
      <c r="AL164" s="72"/>
      <c r="AM164" s="72"/>
      <c r="AN164" s="72"/>
      <c r="AO164" s="72"/>
      <c r="AP164" s="72"/>
      <c r="AQ164" s="72"/>
      <c r="AR164" s="72"/>
      <c r="AS164" s="72"/>
      <c r="AT164" s="72"/>
      <c r="AU164" s="72"/>
    </row>
    <row r="165" customFormat="false" ht="15.75" hidden="false" customHeight="false" outlineLevel="0" collapsed="false">
      <c r="A165" s="73"/>
      <c r="B165" s="72"/>
      <c r="C165" s="72"/>
      <c r="D165" s="72"/>
      <c r="E165" s="72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8"/>
      <c r="AC165" s="78"/>
      <c r="AD165" s="75"/>
      <c r="AE165" s="75"/>
      <c r="AF165" s="75"/>
      <c r="AG165" s="75"/>
      <c r="AH165" s="75"/>
      <c r="AI165" s="72"/>
      <c r="AJ165" s="72"/>
      <c r="AK165" s="72"/>
      <c r="AL165" s="72"/>
      <c r="AM165" s="72"/>
      <c r="AN165" s="72"/>
      <c r="AO165" s="72"/>
      <c r="AP165" s="72"/>
      <c r="AQ165" s="72"/>
      <c r="AR165" s="72"/>
      <c r="AS165" s="72"/>
      <c r="AT165" s="72"/>
      <c r="AU165" s="72"/>
    </row>
    <row r="166" customFormat="false" ht="15.75" hidden="false" customHeight="false" outlineLevel="0" collapsed="false">
      <c r="A166" s="73"/>
      <c r="B166" s="72"/>
      <c r="C166" s="72"/>
      <c r="D166" s="72"/>
      <c r="E166" s="72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8"/>
      <c r="AC166" s="78"/>
      <c r="AD166" s="75"/>
      <c r="AE166" s="75"/>
      <c r="AF166" s="75"/>
      <c r="AG166" s="75"/>
      <c r="AH166" s="75"/>
      <c r="AI166" s="72"/>
      <c r="AJ166" s="72"/>
      <c r="AK166" s="72"/>
      <c r="AL166" s="72"/>
      <c r="AM166" s="72"/>
      <c r="AN166" s="72"/>
      <c r="AO166" s="72"/>
      <c r="AP166" s="72"/>
      <c r="AQ166" s="72"/>
      <c r="AR166" s="72"/>
      <c r="AS166" s="72"/>
      <c r="AT166" s="72"/>
      <c r="AU166" s="72"/>
    </row>
    <row r="167" customFormat="false" ht="15.75" hidden="false" customHeight="false" outlineLevel="0" collapsed="false">
      <c r="A167" s="73"/>
      <c r="B167" s="72"/>
      <c r="C167" s="72"/>
      <c r="D167" s="72"/>
      <c r="E167" s="72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75"/>
      <c r="Z167" s="75"/>
      <c r="AA167" s="75"/>
      <c r="AB167" s="78"/>
      <c r="AC167" s="78"/>
      <c r="AD167" s="75"/>
      <c r="AE167" s="75"/>
      <c r="AF167" s="75"/>
      <c r="AG167" s="75"/>
      <c r="AH167" s="75"/>
      <c r="AI167" s="72"/>
      <c r="AJ167" s="72"/>
      <c r="AK167" s="72"/>
      <c r="AL167" s="72"/>
      <c r="AM167" s="72"/>
      <c r="AN167" s="72"/>
      <c r="AO167" s="72"/>
      <c r="AP167" s="72"/>
      <c r="AQ167" s="72"/>
      <c r="AR167" s="72"/>
      <c r="AS167" s="72"/>
      <c r="AT167" s="72"/>
      <c r="AU167" s="72"/>
    </row>
    <row r="168" customFormat="false" ht="15.75" hidden="false" customHeight="false" outlineLevel="0" collapsed="false">
      <c r="A168" s="73"/>
      <c r="B168" s="72"/>
      <c r="C168" s="72"/>
      <c r="D168" s="72"/>
      <c r="E168" s="72"/>
      <c r="F168" s="75"/>
      <c r="G168" s="75"/>
      <c r="H168" s="75"/>
      <c r="I168" s="75"/>
      <c r="J168" s="75"/>
      <c r="K168" s="75"/>
      <c r="L168" s="75"/>
      <c r="M168" s="75"/>
      <c r="N168" s="75"/>
      <c r="O168" s="75"/>
      <c r="P168" s="75"/>
      <c r="Q168" s="75"/>
      <c r="R168" s="75"/>
      <c r="S168" s="75"/>
      <c r="T168" s="75"/>
      <c r="U168" s="75"/>
      <c r="V168" s="75"/>
      <c r="W168" s="75"/>
      <c r="X168" s="75"/>
      <c r="Y168" s="75"/>
      <c r="Z168" s="75"/>
      <c r="AA168" s="75"/>
      <c r="AB168" s="78"/>
      <c r="AC168" s="78"/>
      <c r="AD168" s="75"/>
      <c r="AE168" s="75"/>
      <c r="AF168" s="75"/>
      <c r="AG168" s="75"/>
      <c r="AH168" s="75"/>
      <c r="AI168" s="72"/>
      <c r="AJ168" s="72"/>
      <c r="AK168" s="72"/>
      <c r="AL168" s="72"/>
      <c r="AM168" s="72"/>
      <c r="AN168" s="72"/>
      <c r="AO168" s="72"/>
      <c r="AP168" s="72"/>
      <c r="AQ168" s="72"/>
      <c r="AR168" s="72"/>
      <c r="AS168" s="72"/>
      <c r="AT168" s="72"/>
      <c r="AU168" s="72"/>
    </row>
    <row r="169" customFormat="false" ht="15.75" hidden="false" customHeight="false" outlineLevel="0" collapsed="false">
      <c r="A169" s="73"/>
      <c r="B169" s="72"/>
      <c r="C169" s="72"/>
      <c r="D169" s="72"/>
      <c r="E169" s="72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8"/>
      <c r="AC169" s="78"/>
      <c r="AD169" s="75"/>
      <c r="AE169" s="75"/>
      <c r="AF169" s="75"/>
      <c r="AG169" s="75"/>
      <c r="AH169" s="75"/>
      <c r="AI169" s="72"/>
      <c r="AJ169" s="72"/>
      <c r="AK169" s="72"/>
      <c r="AL169" s="72"/>
      <c r="AM169" s="72"/>
      <c r="AN169" s="72"/>
      <c r="AO169" s="72"/>
      <c r="AP169" s="72"/>
      <c r="AQ169" s="72"/>
      <c r="AR169" s="72"/>
      <c r="AS169" s="72"/>
      <c r="AT169" s="72"/>
      <c r="AU169" s="72"/>
    </row>
    <row r="170" customFormat="false" ht="15.75" hidden="false" customHeight="false" outlineLevel="0" collapsed="false">
      <c r="A170" s="73"/>
      <c r="B170" s="72"/>
      <c r="C170" s="72"/>
      <c r="D170" s="72"/>
      <c r="E170" s="72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5"/>
      <c r="AA170" s="75"/>
      <c r="AB170" s="78"/>
      <c r="AC170" s="78"/>
      <c r="AD170" s="75"/>
      <c r="AE170" s="75"/>
      <c r="AF170" s="75"/>
      <c r="AG170" s="75"/>
      <c r="AH170" s="75"/>
      <c r="AI170" s="72"/>
      <c r="AJ170" s="72"/>
      <c r="AK170" s="72"/>
      <c r="AL170" s="72"/>
      <c r="AM170" s="72"/>
      <c r="AN170" s="72"/>
      <c r="AO170" s="72"/>
      <c r="AP170" s="72"/>
      <c r="AQ170" s="72"/>
      <c r="AR170" s="72"/>
      <c r="AS170" s="72"/>
      <c r="AT170" s="72"/>
      <c r="AU170" s="72"/>
    </row>
    <row r="171" customFormat="false" ht="15.75" hidden="false" customHeight="false" outlineLevel="0" collapsed="false">
      <c r="A171" s="73"/>
      <c r="B171" s="72"/>
      <c r="C171" s="72"/>
      <c r="D171" s="72"/>
      <c r="E171" s="72"/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  <c r="AA171" s="75"/>
      <c r="AB171" s="78"/>
      <c r="AC171" s="78"/>
      <c r="AD171" s="75"/>
      <c r="AE171" s="75"/>
      <c r="AF171" s="75"/>
      <c r="AG171" s="75"/>
      <c r="AH171" s="75"/>
      <c r="AI171" s="72"/>
      <c r="AJ171" s="72"/>
      <c r="AK171" s="72"/>
      <c r="AL171" s="72"/>
      <c r="AM171" s="72"/>
      <c r="AN171" s="72"/>
      <c r="AO171" s="72"/>
      <c r="AP171" s="72"/>
      <c r="AQ171" s="72"/>
      <c r="AR171" s="72"/>
      <c r="AS171" s="72"/>
      <c r="AT171" s="72"/>
      <c r="AU171" s="72"/>
    </row>
    <row r="172" customFormat="false" ht="15.75" hidden="false" customHeight="false" outlineLevel="0" collapsed="false">
      <c r="A172" s="73"/>
      <c r="B172" s="72"/>
      <c r="C172" s="72"/>
      <c r="D172" s="72"/>
      <c r="E172" s="72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8"/>
      <c r="AC172" s="78"/>
      <c r="AD172" s="75"/>
      <c r="AE172" s="75"/>
      <c r="AF172" s="75"/>
      <c r="AG172" s="75"/>
      <c r="AH172" s="75"/>
      <c r="AI172" s="72"/>
      <c r="AJ172" s="72"/>
      <c r="AK172" s="72"/>
      <c r="AL172" s="72"/>
      <c r="AM172" s="72"/>
      <c r="AN172" s="72"/>
      <c r="AO172" s="72"/>
      <c r="AP172" s="72"/>
      <c r="AQ172" s="72"/>
      <c r="AR172" s="72"/>
      <c r="AS172" s="72"/>
      <c r="AT172" s="72"/>
      <c r="AU172" s="72"/>
    </row>
    <row r="173" customFormat="false" ht="15.75" hidden="false" customHeight="false" outlineLevel="0" collapsed="false">
      <c r="A173" s="73"/>
      <c r="B173" s="72"/>
      <c r="C173" s="72"/>
      <c r="D173" s="72"/>
      <c r="E173" s="72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  <c r="AA173" s="75"/>
      <c r="AB173" s="78"/>
      <c r="AC173" s="78"/>
      <c r="AD173" s="75"/>
      <c r="AE173" s="75"/>
      <c r="AF173" s="75"/>
      <c r="AG173" s="75"/>
      <c r="AH173" s="75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</row>
    <row r="174" customFormat="false" ht="15.75" hidden="false" customHeight="false" outlineLevel="0" collapsed="false">
      <c r="A174" s="73"/>
      <c r="B174" s="72"/>
      <c r="C174" s="72"/>
      <c r="D174" s="72"/>
      <c r="E174" s="72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  <c r="AA174" s="75"/>
      <c r="AB174" s="78"/>
      <c r="AC174" s="78"/>
      <c r="AD174" s="75"/>
      <c r="AE174" s="75"/>
      <c r="AF174" s="75"/>
      <c r="AG174" s="75"/>
      <c r="AH174" s="75"/>
      <c r="AI174" s="72"/>
      <c r="AJ174" s="72"/>
      <c r="AK174" s="72"/>
      <c r="AL174" s="72"/>
      <c r="AM174" s="72"/>
      <c r="AN174" s="72"/>
      <c r="AO174" s="72"/>
      <c r="AP174" s="72"/>
      <c r="AQ174" s="72"/>
      <c r="AR174" s="72"/>
      <c r="AS174" s="72"/>
      <c r="AT174" s="72"/>
      <c r="AU174" s="72"/>
    </row>
    <row r="175" customFormat="false" ht="15.75" hidden="false" customHeight="false" outlineLevel="0" collapsed="false">
      <c r="A175" s="73"/>
      <c r="B175" s="72"/>
      <c r="C175" s="72"/>
      <c r="D175" s="72"/>
      <c r="E175" s="72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5"/>
      <c r="AA175" s="75"/>
      <c r="AB175" s="78"/>
      <c r="AC175" s="78"/>
      <c r="AD175" s="75"/>
      <c r="AE175" s="75"/>
      <c r="AF175" s="75"/>
      <c r="AG175" s="75"/>
      <c r="AH175" s="75"/>
      <c r="AI175" s="72"/>
      <c r="AJ175" s="72"/>
      <c r="AK175" s="72"/>
      <c r="AL175" s="72"/>
      <c r="AM175" s="72"/>
      <c r="AN175" s="72"/>
      <c r="AO175" s="72"/>
      <c r="AP175" s="72"/>
      <c r="AQ175" s="72"/>
      <c r="AR175" s="72"/>
      <c r="AS175" s="72"/>
      <c r="AT175" s="72"/>
      <c r="AU175" s="72"/>
    </row>
    <row r="176" customFormat="false" ht="15.75" hidden="false" customHeight="false" outlineLevel="0" collapsed="false">
      <c r="A176" s="73"/>
      <c r="B176" s="72"/>
      <c r="C176" s="72"/>
      <c r="D176" s="72"/>
      <c r="E176" s="72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  <c r="R176" s="75"/>
      <c r="S176" s="75"/>
      <c r="T176" s="75"/>
      <c r="U176" s="75"/>
      <c r="V176" s="75"/>
      <c r="W176" s="75"/>
      <c r="X176" s="75"/>
      <c r="Y176" s="75"/>
      <c r="Z176" s="75"/>
      <c r="AA176" s="75"/>
      <c r="AB176" s="78"/>
      <c r="AC176" s="78"/>
      <c r="AD176" s="75"/>
      <c r="AE176" s="75"/>
      <c r="AF176" s="75"/>
      <c r="AG176" s="75"/>
      <c r="AH176" s="75"/>
      <c r="AI176" s="72"/>
      <c r="AJ176" s="72"/>
      <c r="AK176" s="72"/>
      <c r="AL176" s="72"/>
      <c r="AM176" s="72"/>
      <c r="AN176" s="72"/>
      <c r="AO176" s="72"/>
      <c r="AP176" s="72"/>
      <c r="AQ176" s="72"/>
      <c r="AR176" s="72"/>
      <c r="AS176" s="72"/>
      <c r="AT176" s="72"/>
      <c r="AU176" s="72"/>
    </row>
    <row r="177" customFormat="false" ht="15.75" hidden="false" customHeight="false" outlineLevel="0" collapsed="false">
      <c r="A177" s="73"/>
      <c r="B177" s="72"/>
      <c r="C177" s="72"/>
      <c r="D177" s="72"/>
      <c r="E177" s="72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5"/>
      <c r="AA177" s="75"/>
      <c r="AB177" s="78"/>
      <c r="AC177" s="78"/>
      <c r="AD177" s="75"/>
      <c r="AE177" s="75"/>
      <c r="AF177" s="75"/>
      <c r="AG177" s="75"/>
      <c r="AH177" s="75"/>
      <c r="AI177" s="72"/>
      <c r="AJ177" s="72"/>
      <c r="AK177" s="72"/>
      <c r="AL177" s="72"/>
      <c r="AM177" s="72"/>
      <c r="AN177" s="72"/>
      <c r="AO177" s="72"/>
      <c r="AP177" s="72"/>
      <c r="AQ177" s="72"/>
      <c r="AR177" s="72"/>
      <c r="AS177" s="72"/>
      <c r="AT177" s="72"/>
      <c r="AU177" s="72"/>
    </row>
    <row r="178" customFormat="false" ht="15.75" hidden="false" customHeight="false" outlineLevel="0" collapsed="false">
      <c r="A178" s="73"/>
      <c r="B178" s="72"/>
      <c r="C178" s="72"/>
      <c r="D178" s="72"/>
      <c r="E178" s="72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5"/>
      <c r="AA178" s="75"/>
      <c r="AB178" s="78"/>
      <c r="AC178" s="78"/>
      <c r="AD178" s="75"/>
      <c r="AE178" s="75"/>
      <c r="AF178" s="75"/>
      <c r="AG178" s="75"/>
      <c r="AH178" s="75"/>
      <c r="AI178" s="72"/>
      <c r="AJ178" s="72"/>
      <c r="AK178" s="72"/>
      <c r="AL178" s="72"/>
      <c r="AM178" s="72"/>
      <c r="AN178" s="72"/>
      <c r="AO178" s="72"/>
      <c r="AP178" s="72"/>
      <c r="AQ178" s="72"/>
      <c r="AR178" s="72"/>
      <c r="AS178" s="72"/>
      <c r="AT178" s="72"/>
      <c r="AU178" s="72"/>
    </row>
    <row r="179" customFormat="false" ht="15.75" hidden="false" customHeight="false" outlineLevel="0" collapsed="false">
      <c r="A179" s="73"/>
      <c r="B179" s="72"/>
      <c r="C179" s="72"/>
      <c r="D179" s="72"/>
      <c r="E179" s="72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  <c r="R179" s="75"/>
      <c r="S179" s="75"/>
      <c r="T179" s="75"/>
      <c r="U179" s="75"/>
      <c r="V179" s="75"/>
      <c r="W179" s="75"/>
      <c r="X179" s="75"/>
      <c r="Y179" s="75"/>
      <c r="Z179" s="75"/>
      <c r="AA179" s="75"/>
      <c r="AB179" s="78"/>
      <c r="AC179" s="78"/>
      <c r="AD179" s="75"/>
      <c r="AE179" s="75"/>
      <c r="AF179" s="75"/>
      <c r="AG179" s="75"/>
      <c r="AH179" s="75"/>
      <c r="AI179" s="72"/>
      <c r="AJ179" s="72"/>
      <c r="AK179" s="72"/>
      <c r="AL179" s="72"/>
      <c r="AM179" s="72"/>
      <c r="AN179" s="72"/>
      <c r="AO179" s="72"/>
      <c r="AP179" s="72"/>
      <c r="AQ179" s="72"/>
      <c r="AR179" s="72"/>
      <c r="AS179" s="72"/>
      <c r="AT179" s="72"/>
      <c r="AU179" s="72"/>
    </row>
    <row r="180" customFormat="false" ht="15.75" hidden="false" customHeight="false" outlineLevel="0" collapsed="false">
      <c r="A180" s="73"/>
      <c r="B180" s="72"/>
      <c r="C180" s="72"/>
      <c r="D180" s="72"/>
      <c r="E180" s="72"/>
      <c r="F180" s="75"/>
      <c r="G180" s="75"/>
      <c r="H180" s="75"/>
      <c r="I180" s="75"/>
      <c r="J180" s="75"/>
      <c r="K180" s="75"/>
      <c r="L180" s="75"/>
      <c r="M180" s="75"/>
      <c r="N180" s="75"/>
      <c r="O180" s="75"/>
      <c r="P180" s="75"/>
      <c r="Q180" s="75"/>
      <c r="R180" s="75"/>
      <c r="S180" s="75"/>
      <c r="T180" s="75"/>
      <c r="U180" s="75"/>
      <c r="V180" s="75"/>
      <c r="W180" s="75"/>
      <c r="X180" s="75"/>
      <c r="Y180" s="75"/>
      <c r="Z180" s="75"/>
      <c r="AA180" s="75"/>
      <c r="AB180" s="78"/>
      <c r="AC180" s="78"/>
      <c r="AD180" s="75"/>
      <c r="AE180" s="75"/>
      <c r="AF180" s="75"/>
      <c r="AG180" s="75"/>
      <c r="AH180" s="75"/>
      <c r="AI180" s="72"/>
      <c r="AJ180" s="72"/>
      <c r="AK180" s="72"/>
      <c r="AL180" s="72"/>
      <c r="AM180" s="72"/>
      <c r="AN180" s="72"/>
      <c r="AO180" s="72"/>
      <c r="AP180" s="72"/>
      <c r="AQ180" s="72"/>
      <c r="AR180" s="72"/>
      <c r="AS180" s="72"/>
      <c r="AT180" s="72"/>
      <c r="AU180" s="72"/>
    </row>
    <row r="181" customFormat="false" ht="15.75" hidden="false" customHeight="false" outlineLevel="0" collapsed="false">
      <c r="A181" s="73"/>
      <c r="B181" s="72"/>
      <c r="C181" s="72"/>
      <c r="D181" s="72"/>
      <c r="E181" s="72"/>
      <c r="F181" s="75"/>
      <c r="G181" s="75"/>
      <c r="H181" s="75"/>
      <c r="I181" s="75"/>
      <c r="J181" s="75"/>
      <c r="K181" s="75"/>
      <c r="L181" s="75"/>
      <c r="M181" s="75"/>
      <c r="N181" s="75"/>
      <c r="O181" s="75"/>
      <c r="P181" s="75"/>
      <c r="Q181" s="75"/>
      <c r="R181" s="75"/>
      <c r="S181" s="75"/>
      <c r="T181" s="75"/>
      <c r="U181" s="75"/>
      <c r="V181" s="75"/>
      <c r="W181" s="75"/>
      <c r="X181" s="75"/>
      <c r="Y181" s="75"/>
      <c r="Z181" s="75"/>
      <c r="AA181" s="75"/>
      <c r="AB181" s="78"/>
      <c r="AC181" s="78"/>
      <c r="AD181" s="75"/>
      <c r="AE181" s="75"/>
      <c r="AF181" s="75"/>
      <c r="AG181" s="75"/>
      <c r="AH181" s="75"/>
      <c r="AI181" s="72"/>
      <c r="AJ181" s="72"/>
      <c r="AK181" s="72"/>
      <c r="AL181" s="72"/>
      <c r="AM181" s="72"/>
      <c r="AN181" s="72"/>
      <c r="AO181" s="72"/>
      <c r="AP181" s="72"/>
      <c r="AQ181" s="72"/>
      <c r="AR181" s="72"/>
      <c r="AS181" s="72"/>
      <c r="AT181" s="72"/>
      <c r="AU181" s="72"/>
    </row>
    <row r="182" customFormat="false" ht="15.75" hidden="false" customHeight="false" outlineLevel="0" collapsed="false">
      <c r="A182" s="73"/>
      <c r="B182" s="72"/>
      <c r="C182" s="72"/>
      <c r="D182" s="72"/>
      <c r="E182" s="72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  <c r="R182" s="75"/>
      <c r="S182" s="75"/>
      <c r="T182" s="75"/>
      <c r="U182" s="75"/>
      <c r="V182" s="75"/>
      <c r="W182" s="75"/>
      <c r="X182" s="75"/>
      <c r="Y182" s="75"/>
      <c r="Z182" s="75"/>
      <c r="AA182" s="75"/>
      <c r="AB182" s="78"/>
      <c r="AC182" s="78"/>
      <c r="AD182" s="75"/>
      <c r="AE182" s="75"/>
      <c r="AF182" s="75"/>
      <c r="AG182" s="75"/>
      <c r="AH182" s="75"/>
      <c r="AI182" s="72"/>
      <c r="AJ182" s="72"/>
      <c r="AK182" s="72"/>
      <c r="AL182" s="72"/>
      <c r="AM182" s="72"/>
      <c r="AN182" s="72"/>
      <c r="AO182" s="72"/>
      <c r="AP182" s="72"/>
      <c r="AQ182" s="72"/>
      <c r="AR182" s="72"/>
      <c r="AS182" s="72"/>
      <c r="AT182" s="72"/>
      <c r="AU182" s="72"/>
    </row>
    <row r="183" customFormat="false" ht="15.75" hidden="false" customHeight="false" outlineLevel="0" collapsed="false">
      <c r="A183" s="73"/>
      <c r="B183" s="72"/>
      <c r="C183" s="72"/>
      <c r="D183" s="72"/>
      <c r="E183" s="72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8"/>
      <c r="AC183" s="78"/>
      <c r="AD183" s="75"/>
      <c r="AE183" s="75"/>
      <c r="AF183" s="75"/>
      <c r="AG183" s="75"/>
      <c r="AH183" s="75"/>
      <c r="AI183" s="72"/>
      <c r="AJ183" s="72"/>
      <c r="AK183" s="72"/>
      <c r="AL183" s="72"/>
      <c r="AM183" s="72"/>
      <c r="AN183" s="72"/>
      <c r="AO183" s="72"/>
      <c r="AP183" s="72"/>
      <c r="AQ183" s="72"/>
      <c r="AR183" s="72"/>
      <c r="AS183" s="72"/>
      <c r="AT183" s="72"/>
      <c r="AU183" s="72"/>
    </row>
    <row r="184" customFormat="false" ht="15.75" hidden="false" customHeight="false" outlineLevel="0" collapsed="false">
      <c r="A184" s="73"/>
      <c r="B184" s="72"/>
      <c r="C184" s="72"/>
      <c r="D184" s="72"/>
      <c r="E184" s="72"/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75"/>
      <c r="T184" s="75"/>
      <c r="U184" s="75"/>
      <c r="V184" s="75"/>
      <c r="W184" s="75"/>
      <c r="X184" s="75"/>
      <c r="Y184" s="75"/>
      <c r="Z184" s="75"/>
      <c r="AA184" s="75"/>
      <c r="AB184" s="78"/>
      <c r="AC184" s="78"/>
      <c r="AD184" s="75"/>
      <c r="AE184" s="75"/>
      <c r="AF184" s="75"/>
      <c r="AG184" s="75"/>
      <c r="AH184" s="75"/>
      <c r="AI184" s="72"/>
      <c r="AJ184" s="72"/>
      <c r="AK184" s="72"/>
      <c r="AL184" s="72"/>
      <c r="AM184" s="72"/>
      <c r="AN184" s="72"/>
      <c r="AO184" s="72"/>
      <c r="AP184" s="72"/>
      <c r="AQ184" s="72"/>
      <c r="AR184" s="72"/>
      <c r="AS184" s="72"/>
      <c r="AT184" s="72"/>
      <c r="AU184" s="72"/>
    </row>
    <row r="185" customFormat="false" ht="15.75" hidden="false" customHeight="false" outlineLevel="0" collapsed="false">
      <c r="A185" s="73"/>
      <c r="B185" s="72"/>
      <c r="C185" s="72"/>
      <c r="D185" s="72"/>
      <c r="E185" s="72"/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  <c r="Q185" s="75"/>
      <c r="R185" s="75"/>
      <c r="S185" s="75"/>
      <c r="T185" s="75"/>
      <c r="U185" s="75"/>
      <c r="V185" s="75"/>
      <c r="W185" s="75"/>
      <c r="X185" s="75"/>
      <c r="Y185" s="75"/>
      <c r="Z185" s="75"/>
      <c r="AA185" s="75"/>
      <c r="AB185" s="78"/>
      <c r="AC185" s="78"/>
      <c r="AD185" s="75"/>
      <c r="AE185" s="75"/>
      <c r="AF185" s="75"/>
      <c r="AG185" s="75"/>
      <c r="AH185" s="75"/>
      <c r="AI185" s="72"/>
      <c r="AJ185" s="72"/>
      <c r="AK185" s="72"/>
      <c r="AL185" s="72"/>
      <c r="AM185" s="72"/>
      <c r="AN185" s="72"/>
      <c r="AO185" s="72"/>
      <c r="AP185" s="72"/>
      <c r="AQ185" s="72"/>
      <c r="AR185" s="72"/>
      <c r="AS185" s="72"/>
      <c r="AT185" s="72"/>
      <c r="AU185" s="72"/>
    </row>
    <row r="186" customFormat="false" ht="15.75" hidden="false" customHeight="false" outlineLevel="0" collapsed="false">
      <c r="A186" s="73"/>
      <c r="B186" s="72"/>
      <c r="C186" s="72"/>
      <c r="D186" s="72"/>
      <c r="E186" s="72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  <c r="Z186" s="75"/>
      <c r="AA186" s="75"/>
      <c r="AB186" s="78"/>
      <c r="AC186" s="78"/>
      <c r="AD186" s="75"/>
      <c r="AE186" s="75"/>
      <c r="AF186" s="75"/>
      <c r="AG186" s="75"/>
      <c r="AH186" s="75"/>
      <c r="AI186" s="72"/>
      <c r="AJ186" s="72"/>
      <c r="AK186" s="72"/>
      <c r="AL186" s="72"/>
      <c r="AM186" s="72"/>
      <c r="AN186" s="72"/>
      <c r="AO186" s="72"/>
      <c r="AP186" s="72"/>
      <c r="AQ186" s="72"/>
      <c r="AR186" s="72"/>
      <c r="AS186" s="72"/>
      <c r="AT186" s="72"/>
      <c r="AU186" s="72"/>
    </row>
    <row r="187" customFormat="false" ht="15.75" hidden="false" customHeight="false" outlineLevel="0" collapsed="false">
      <c r="A187" s="73"/>
      <c r="B187" s="72"/>
      <c r="C187" s="72"/>
      <c r="D187" s="72"/>
      <c r="E187" s="72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5"/>
      <c r="AA187" s="75"/>
      <c r="AB187" s="78"/>
      <c r="AC187" s="78"/>
      <c r="AD187" s="75"/>
      <c r="AE187" s="75"/>
      <c r="AF187" s="75"/>
      <c r="AG187" s="75"/>
      <c r="AH187" s="75"/>
      <c r="AI187" s="72"/>
      <c r="AJ187" s="72"/>
      <c r="AK187" s="72"/>
      <c r="AL187" s="72"/>
      <c r="AM187" s="72"/>
      <c r="AN187" s="72"/>
      <c r="AO187" s="72"/>
      <c r="AP187" s="72"/>
      <c r="AQ187" s="72"/>
      <c r="AR187" s="72"/>
      <c r="AS187" s="72"/>
      <c r="AT187" s="72"/>
      <c r="AU187" s="72"/>
    </row>
    <row r="188" customFormat="false" ht="15.75" hidden="false" customHeight="false" outlineLevel="0" collapsed="false">
      <c r="A188" s="73"/>
      <c r="B188" s="72"/>
      <c r="C188" s="72"/>
      <c r="D188" s="72"/>
      <c r="E188" s="72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  <c r="S188" s="75"/>
      <c r="T188" s="75"/>
      <c r="U188" s="75"/>
      <c r="V188" s="75"/>
      <c r="W188" s="75"/>
      <c r="X188" s="75"/>
      <c r="Y188" s="75"/>
      <c r="Z188" s="75"/>
      <c r="AA188" s="75"/>
      <c r="AB188" s="78"/>
      <c r="AC188" s="78"/>
      <c r="AD188" s="75"/>
      <c r="AE188" s="75"/>
      <c r="AF188" s="75"/>
      <c r="AG188" s="75"/>
      <c r="AH188" s="75"/>
      <c r="AI188" s="72"/>
      <c r="AJ188" s="72"/>
      <c r="AK188" s="72"/>
      <c r="AL188" s="72"/>
      <c r="AM188" s="72"/>
      <c r="AN188" s="72"/>
      <c r="AO188" s="72"/>
      <c r="AP188" s="72"/>
      <c r="AQ188" s="72"/>
      <c r="AR188" s="72"/>
      <c r="AS188" s="72"/>
      <c r="AT188" s="72"/>
      <c r="AU188" s="72"/>
    </row>
    <row r="189" customFormat="false" ht="15.75" hidden="false" customHeight="false" outlineLevel="0" collapsed="false">
      <c r="A189" s="73"/>
      <c r="B189" s="72"/>
      <c r="C189" s="72"/>
      <c r="D189" s="72"/>
      <c r="E189" s="72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  <c r="Q189" s="75"/>
      <c r="R189" s="75"/>
      <c r="S189" s="75"/>
      <c r="T189" s="75"/>
      <c r="U189" s="75"/>
      <c r="V189" s="75"/>
      <c r="W189" s="75"/>
      <c r="X189" s="75"/>
      <c r="Y189" s="75"/>
      <c r="Z189" s="75"/>
      <c r="AA189" s="75"/>
      <c r="AB189" s="78"/>
      <c r="AC189" s="78"/>
      <c r="AD189" s="75"/>
      <c r="AE189" s="75"/>
      <c r="AF189" s="75"/>
      <c r="AG189" s="75"/>
      <c r="AH189" s="75"/>
      <c r="AI189" s="72"/>
      <c r="AJ189" s="72"/>
      <c r="AK189" s="72"/>
      <c r="AL189" s="72"/>
      <c r="AM189" s="72"/>
      <c r="AN189" s="72"/>
      <c r="AO189" s="72"/>
      <c r="AP189" s="72"/>
      <c r="AQ189" s="72"/>
      <c r="AR189" s="72"/>
      <c r="AS189" s="72"/>
      <c r="AT189" s="72"/>
      <c r="AU189" s="72"/>
    </row>
    <row r="190" customFormat="false" ht="15.75" hidden="false" customHeight="false" outlineLevel="0" collapsed="false">
      <c r="A190" s="73"/>
      <c r="B190" s="72"/>
      <c r="C190" s="72"/>
      <c r="D190" s="72"/>
      <c r="E190" s="72"/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5"/>
      <c r="AA190" s="75"/>
      <c r="AB190" s="78"/>
      <c r="AC190" s="78"/>
      <c r="AD190" s="75"/>
      <c r="AE190" s="75"/>
      <c r="AF190" s="75"/>
      <c r="AG190" s="75"/>
      <c r="AH190" s="75"/>
      <c r="AI190" s="72"/>
      <c r="AJ190" s="72"/>
      <c r="AK190" s="72"/>
      <c r="AL190" s="72"/>
      <c r="AM190" s="72"/>
      <c r="AN190" s="72"/>
      <c r="AO190" s="72"/>
      <c r="AP190" s="72"/>
      <c r="AQ190" s="72"/>
      <c r="AR190" s="72"/>
      <c r="AS190" s="72"/>
      <c r="AT190" s="72"/>
      <c r="AU190" s="72"/>
    </row>
    <row r="191" customFormat="false" ht="15.75" hidden="false" customHeight="false" outlineLevel="0" collapsed="false">
      <c r="A191" s="73"/>
      <c r="B191" s="72"/>
      <c r="C191" s="72"/>
      <c r="D191" s="72"/>
      <c r="E191" s="72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  <c r="S191" s="75"/>
      <c r="T191" s="75"/>
      <c r="U191" s="75"/>
      <c r="V191" s="75"/>
      <c r="W191" s="75"/>
      <c r="X191" s="75"/>
      <c r="Y191" s="75"/>
      <c r="Z191" s="75"/>
      <c r="AA191" s="75"/>
      <c r="AB191" s="78"/>
      <c r="AC191" s="78"/>
      <c r="AD191" s="75"/>
      <c r="AE191" s="75"/>
      <c r="AF191" s="75"/>
      <c r="AG191" s="75"/>
      <c r="AH191" s="75"/>
      <c r="AI191" s="72"/>
      <c r="AJ191" s="72"/>
      <c r="AK191" s="72"/>
      <c r="AL191" s="72"/>
      <c r="AM191" s="72"/>
      <c r="AN191" s="72"/>
      <c r="AO191" s="72"/>
      <c r="AP191" s="72"/>
      <c r="AQ191" s="72"/>
      <c r="AR191" s="72"/>
      <c r="AS191" s="72"/>
      <c r="AT191" s="72"/>
      <c r="AU191" s="72"/>
    </row>
    <row r="192" customFormat="false" ht="15.75" hidden="false" customHeight="false" outlineLevel="0" collapsed="false">
      <c r="A192" s="73"/>
      <c r="B192" s="72"/>
      <c r="C192" s="72"/>
      <c r="D192" s="72"/>
      <c r="E192" s="72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  <c r="S192" s="75"/>
      <c r="T192" s="75"/>
      <c r="U192" s="75"/>
      <c r="V192" s="75"/>
      <c r="W192" s="75"/>
      <c r="X192" s="75"/>
      <c r="Y192" s="75"/>
      <c r="Z192" s="75"/>
      <c r="AA192" s="75"/>
      <c r="AB192" s="78"/>
      <c r="AC192" s="78"/>
      <c r="AD192" s="75"/>
      <c r="AE192" s="75"/>
      <c r="AF192" s="75"/>
      <c r="AG192" s="75"/>
      <c r="AH192" s="75"/>
      <c r="AI192" s="72"/>
      <c r="AJ192" s="72"/>
      <c r="AK192" s="72"/>
      <c r="AL192" s="72"/>
      <c r="AM192" s="72"/>
      <c r="AN192" s="72"/>
      <c r="AO192" s="72"/>
      <c r="AP192" s="72"/>
      <c r="AQ192" s="72"/>
      <c r="AR192" s="72"/>
      <c r="AS192" s="72"/>
      <c r="AT192" s="72"/>
      <c r="AU192" s="72"/>
    </row>
    <row r="193" customFormat="false" ht="15.75" hidden="false" customHeight="false" outlineLevel="0" collapsed="false">
      <c r="A193" s="73"/>
      <c r="B193" s="72"/>
      <c r="C193" s="72"/>
      <c r="D193" s="72"/>
      <c r="E193" s="72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5"/>
      <c r="U193" s="75"/>
      <c r="V193" s="75"/>
      <c r="W193" s="75"/>
      <c r="X193" s="75"/>
      <c r="Y193" s="75"/>
      <c r="Z193" s="75"/>
      <c r="AA193" s="75"/>
      <c r="AB193" s="78"/>
      <c r="AC193" s="78"/>
      <c r="AD193" s="75"/>
      <c r="AE193" s="75"/>
      <c r="AF193" s="75"/>
      <c r="AG193" s="75"/>
      <c r="AH193" s="75"/>
      <c r="AI193" s="72"/>
      <c r="AJ193" s="72"/>
      <c r="AK193" s="72"/>
      <c r="AL193" s="72"/>
      <c r="AM193" s="72"/>
      <c r="AN193" s="72"/>
      <c r="AO193" s="72"/>
      <c r="AP193" s="72"/>
      <c r="AQ193" s="72"/>
      <c r="AR193" s="72"/>
      <c r="AS193" s="72"/>
      <c r="AT193" s="72"/>
      <c r="AU193" s="72"/>
    </row>
    <row r="194" customFormat="false" ht="15.75" hidden="false" customHeight="false" outlineLevel="0" collapsed="false">
      <c r="A194" s="73"/>
      <c r="B194" s="72"/>
      <c r="C194" s="72"/>
      <c r="D194" s="72"/>
      <c r="E194" s="72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  <c r="R194" s="75"/>
      <c r="S194" s="75"/>
      <c r="T194" s="75"/>
      <c r="U194" s="75"/>
      <c r="V194" s="75"/>
      <c r="W194" s="75"/>
      <c r="X194" s="75"/>
      <c r="Y194" s="75"/>
      <c r="Z194" s="75"/>
      <c r="AA194" s="75"/>
      <c r="AB194" s="78"/>
      <c r="AC194" s="78"/>
      <c r="AD194" s="75"/>
      <c r="AE194" s="75"/>
      <c r="AF194" s="75"/>
      <c r="AG194" s="75"/>
      <c r="AH194" s="75"/>
      <c r="AI194" s="72"/>
      <c r="AJ194" s="72"/>
      <c r="AK194" s="72"/>
      <c r="AL194" s="72"/>
      <c r="AM194" s="72"/>
      <c r="AN194" s="72"/>
      <c r="AO194" s="72"/>
      <c r="AP194" s="72"/>
      <c r="AQ194" s="72"/>
      <c r="AR194" s="72"/>
      <c r="AS194" s="72"/>
      <c r="AT194" s="72"/>
      <c r="AU194" s="72"/>
    </row>
    <row r="195" customFormat="false" ht="15.75" hidden="false" customHeight="false" outlineLevel="0" collapsed="false">
      <c r="A195" s="73"/>
      <c r="B195" s="72"/>
      <c r="C195" s="72"/>
      <c r="D195" s="72"/>
      <c r="E195" s="72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75"/>
      <c r="W195" s="75"/>
      <c r="X195" s="75"/>
      <c r="Y195" s="75"/>
      <c r="Z195" s="75"/>
      <c r="AA195" s="75"/>
      <c r="AB195" s="78"/>
      <c r="AC195" s="78"/>
      <c r="AD195" s="75"/>
      <c r="AE195" s="75"/>
      <c r="AF195" s="75"/>
      <c r="AG195" s="75"/>
      <c r="AH195" s="75"/>
      <c r="AI195" s="72"/>
      <c r="AJ195" s="72"/>
      <c r="AK195" s="72"/>
      <c r="AL195" s="72"/>
      <c r="AM195" s="72"/>
      <c r="AN195" s="72"/>
      <c r="AO195" s="72"/>
      <c r="AP195" s="72"/>
      <c r="AQ195" s="72"/>
      <c r="AR195" s="72"/>
      <c r="AS195" s="72"/>
      <c r="AT195" s="72"/>
      <c r="AU195" s="72"/>
    </row>
    <row r="196" customFormat="false" ht="15.75" hidden="false" customHeight="false" outlineLevel="0" collapsed="false">
      <c r="A196" s="73"/>
      <c r="B196" s="72"/>
      <c r="C196" s="72"/>
      <c r="D196" s="72"/>
      <c r="E196" s="72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  <c r="R196" s="75"/>
      <c r="S196" s="75"/>
      <c r="T196" s="75"/>
      <c r="U196" s="75"/>
      <c r="V196" s="75"/>
      <c r="W196" s="75"/>
      <c r="X196" s="75"/>
      <c r="Y196" s="75"/>
      <c r="Z196" s="75"/>
      <c r="AA196" s="75"/>
      <c r="AB196" s="78"/>
      <c r="AC196" s="78"/>
      <c r="AD196" s="75"/>
      <c r="AE196" s="75"/>
      <c r="AF196" s="75"/>
      <c r="AG196" s="75"/>
      <c r="AH196" s="75"/>
      <c r="AI196" s="72"/>
      <c r="AJ196" s="72"/>
      <c r="AK196" s="72"/>
      <c r="AL196" s="72"/>
      <c r="AM196" s="72"/>
      <c r="AN196" s="72"/>
      <c r="AO196" s="72"/>
      <c r="AP196" s="72"/>
      <c r="AQ196" s="72"/>
      <c r="AR196" s="72"/>
      <c r="AS196" s="72"/>
      <c r="AT196" s="72"/>
      <c r="AU196" s="72"/>
    </row>
    <row r="197" customFormat="false" ht="15.75" hidden="false" customHeight="false" outlineLevel="0" collapsed="false">
      <c r="A197" s="73"/>
      <c r="B197" s="72"/>
      <c r="C197" s="72"/>
      <c r="D197" s="72"/>
      <c r="E197" s="72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  <c r="R197" s="75"/>
      <c r="S197" s="75"/>
      <c r="T197" s="75"/>
      <c r="U197" s="75"/>
      <c r="V197" s="75"/>
      <c r="W197" s="75"/>
      <c r="X197" s="75"/>
      <c r="Y197" s="75"/>
      <c r="Z197" s="75"/>
      <c r="AA197" s="75"/>
      <c r="AB197" s="78"/>
      <c r="AC197" s="78"/>
      <c r="AD197" s="75"/>
      <c r="AE197" s="75"/>
      <c r="AF197" s="75"/>
      <c r="AG197" s="75"/>
      <c r="AH197" s="75"/>
      <c r="AI197" s="72"/>
      <c r="AJ197" s="72"/>
      <c r="AK197" s="72"/>
      <c r="AL197" s="72"/>
      <c r="AM197" s="72"/>
      <c r="AN197" s="72"/>
      <c r="AO197" s="72"/>
      <c r="AP197" s="72"/>
      <c r="AQ197" s="72"/>
      <c r="AR197" s="72"/>
      <c r="AS197" s="72"/>
      <c r="AT197" s="72"/>
      <c r="AU197" s="72"/>
    </row>
    <row r="198" customFormat="false" ht="15.75" hidden="false" customHeight="false" outlineLevel="0" collapsed="false">
      <c r="A198" s="73"/>
      <c r="B198" s="72"/>
      <c r="C198" s="72"/>
      <c r="D198" s="72"/>
      <c r="E198" s="72"/>
      <c r="F198" s="75"/>
      <c r="G198" s="75"/>
      <c r="H198" s="75"/>
      <c r="I198" s="75"/>
      <c r="J198" s="75"/>
      <c r="K198" s="75"/>
      <c r="L198" s="75"/>
      <c r="M198" s="75"/>
      <c r="N198" s="75"/>
      <c r="O198" s="75"/>
      <c r="P198" s="75"/>
      <c r="Q198" s="75"/>
      <c r="R198" s="75"/>
      <c r="S198" s="75"/>
      <c r="T198" s="75"/>
      <c r="U198" s="75"/>
      <c r="V198" s="75"/>
      <c r="W198" s="75"/>
      <c r="X198" s="75"/>
      <c r="Y198" s="75"/>
      <c r="Z198" s="75"/>
      <c r="AA198" s="75"/>
      <c r="AB198" s="78"/>
      <c r="AC198" s="78"/>
      <c r="AD198" s="75"/>
      <c r="AE198" s="75"/>
      <c r="AF198" s="75"/>
      <c r="AG198" s="75"/>
      <c r="AH198" s="75"/>
      <c r="AI198" s="72"/>
      <c r="AJ198" s="72"/>
      <c r="AK198" s="72"/>
      <c r="AL198" s="72"/>
      <c r="AM198" s="72"/>
      <c r="AN198" s="72"/>
      <c r="AO198" s="72"/>
      <c r="AP198" s="72"/>
      <c r="AQ198" s="72"/>
      <c r="AR198" s="72"/>
      <c r="AS198" s="72"/>
      <c r="AT198" s="72"/>
      <c r="AU198" s="72"/>
    </row>
    <row r="199" customFormat="false" ht="15.75" hidden="false" customHeight="false" outlineLevel="0" collapsed="false">
      <c r="A199" s="73"/>
      <c r="B199" s="72"/>
      <c r="C199" s="72"/>
      <c r="D199" s="72"/>
      <c r="E199" s="72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  <c r="R199" s="75"/>
      <c r="S199" s="75"/>
      <c r="T199" s="75"/>
      <c r="U199" s="75"/>
      <c r="V199" s="75"/>
      <c r="W199" s="75"/>
      <c r="X199" s="75"/>
      <c r="Y199" s="75"/>
      <c r="Z199" s="75"/>
      <c r="AA199" s="75"/>
      <c r="AB199" s="78"/>
      <c r="AC199" s="78"/>
      <c r="AD199" s="75"/>
      <c r="AE199" s="75"/>
      <c r="AF199" s="75"/>
      <c r="AG199" s="75"/>
      <c r="AH199" s="75"/>
      <c r="AI199" s="72"/>
      <c r="AJ199" s="72"/>
      <c r="AK199" s="72"/>
      <c r="AL199" s="72"/>
      <c r="AM199" s="72"/>
      <c r="AN199" s="72"/>
      <c r="AO199" s="72"/>
      <c r="AP199" s="72"/>
      <c r="AQ199" s="72"/>
      <c r="AR199" s="72"/>
      <c r="AS199" s="72"/>
      <c r="AT199" s="72"/>
      <c r="AU199" s="72"/>
    </row>
    <row r="200" customFormat="false" ht="15.75" hidden="false" customHeight="false" outlineLevel="0" collapsed="false">
      <c r="A200" s="73"/>
      <c r="B200" s="72"/>
      <c r="C200" s="72"/>
      <c r="D200" s="72"/>
      <c r="E200" s="72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75"/>
      <c r="T200" s="75"/>
      <c r="U200" s="75"/>
      <c r="V200" s="75"/>
      <c r="W200" s="75"/>
      <c r="X200" s="75"/>
      <c r="Y200" s="75"/>
      <c r="Z200" s="75"/>
      <c r="AA200" s="75"/>
      <c r="AB200" s="78"/>
      <c r="AC200" s="78"/>
      <c r="AD200" s="75"/>
      <c r="AE200" s="75"/>
      <c r="AF200" s="75"/>
      <c r="AG200" s="75"/>
      <c r="AH200" s="75"/>
      <c r="AI200" s="72"/>
      <c r="AJ200" s="72"/>
      <c r="AK200" s="72"/>
      <c r="AL200" s="72"/>
      <c r="AM200" s="72"/>
      <c r="AN200" s="72"/>
      <c r="AO200" s="72"/>
      <c r="AP200" s="72"/>
      <c r="AQ200" s="72"/>
      <c r="AR200" s="72"/>
      <c r="AS200" s="72"/>
      <c r="AT200" s="72"/>
      <c r="AU200" s="72"/>
    </row>
    <row r="201" customFormat="false" ht="15.75" hidden="false" customHeight="false" outlineLevel="0" collapsed="false">
      <c r="A201" s="73"/>
      <c r="B201" s="72"/>
      <c r="C201" s="72"/>
      <c r="D201" s="72"/>
      <c r="E201" s="72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  <c r="Q201" s="75"/>
      <c r="R201" s="75"/>
      <c r="S201" s="75"/>
      <c r="T201" s="75"/>
      <c r="U201" s="75"/>
      <c r="V201" s="75"/>
      <c r="W201" s="75"/>
      <c r="X201" s="75"/>
      <c r="Y201" s="75"/>
      <c r="Z201" s="75"/>
      <c r="AA201" s="75"/>
      <c r="AB201" s="78"/>
      <c r="AC201" s="78"/>
      <c r="AD201" s="75"/>
      <c r="AE201" s="75"/>
      <c r="AF201" s="75"/>
      <c r="AG201" s="75"/>
      <c r="AH201" s="75"/>
      <c r="AI201" s="72"/>
      <c r="AJ201" s="72"/>
      <c r="AK201" s="72"/>
      <c r="AL201" s="72"/>
      <c r="AM201" s="72"/>
      <c r="AN201" s="72"/>
      <c r="AO201" s="72"/>
      <c r="AP201" s="72"/>
      <c r="AQ201" s="72"/>
      <c r="AR201" s="72"/>
      <c r="AS201" s="72"/>
      <c r="AT201" s="72"/>
      <c r="AU201" s="72"/>
    </row>
    <row r="202" customFormat="false" ht="15.75" hidden="false" customHeight="false" outlineLevel="0" collapsed="false">
      <c r="A202" s="73"/>
      <c r="B202" s="72"/>
      <c r="C202" s="72"/>
      <c r="D202" s="72"/>
      <c r="E202" s="72"/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  <c r="Q202" s="75"/>
      <c r="R202" s="75"/>
      <c r="S202" s="75"/>
      <c r="T202" s="75"/>
      <c r="U202" s="75"/>
      <c r="V202" s="75"/>
      <c r="W202" s="75"/>
      <c r="X202" s="75"/>
      <c r="Y202" s="75"/>
      <c r="Z202" s="75"/>
      <c r="AA202" s="75"/>
      <c r="AB202" s="78"/>
      <c r="AC202" s="78"/>
      <c r="AD202" s="75"/>
      <c r="AE202" s="75"/>
      <c r="AF202" s="75"/>
      <c r="AG202" s="75"/>
      <c r="AH202" s="75"/>
      <c r="AI202" s="72"/>
      <c r="AJ202" s="72"/>
      <c r="AK202" s="72"/>
      <c r="AL202" s="72"/>
      <c r="AM202" s="72"/>
      <c r="AN202" s="72"/>
      <c r="AO202" s="72"/>
      <c r="AP202" s="72"/>
      <c r="AQ202" s="72"/>
      <c r="AR202" s="72"/>
      <c r="AS202" s="72"/>
      <c r="AT202" s="72"/>
      <c r="AU202" s="72"/>
    </row>
    <row r="203" customFormat="false" ht="15.75" hidden="false" customHeight="false" outlineLevel="0" collapsed="false">
      <c r="A203" s="73"/>
      <c r="B203" s="72"/>
      <c r="C203" s="72"/>
      <c r="D203" s="72"/>
      <c r="E203" s="72"/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  <c r="Q203" s="75"/>
      <c r="R203" s="75"/>
      <c r="S203" s="75"/>
      <c r="T203" s="75"/>
      <c r="U203" s="75"/>
      <c r="V203" s="75"/>
      <c r="W203" s="75"/>
      <c r="X203" s="75"/>
      <c r="Y203" s="75"/>
      <c r="Z203" s="75"/>
      <c r="AA203" s="75"/>
      <c r="AB203" s="78"/>
      <c r="AC203" s="78"/>
      <c r="AD203" s="75"/>
      <c r="AE203" s="75"/>
      <c r="AF203" s="75"/>
      <c r="AG203" s="75"/>
      <c r="AH203" s="75"/>
      <c r="AI203" s="72"/>
      <c r="AJ203" s="72"/>
      <c r="AK203" s="72"/>
      <c r="AL203" s="72"/>
      <c r="AM203" s="72"/>
      <c r="AN203" s="72"/>
      <c r="AO203" s="72"/>
      <c r="AP203" s="72"/>
      <c r="AQ203" s="72"/>
      <c r="AR203" s="72"/>
      <c r="AS203" s="72"/>
      <c r="AT203" s="72"/>
      <c r="AU203" s="72"/>
    </row>
    <row r="204" customFormat="false" ht="15.75" hidden="false" customHeight="false" outlineLevel="0" collapsed="false">
      <c r="A204" s="73"/>
      <c r="B204" s="72"/>
      <c r="C204" s="72"/>
      <c r="D204" s="72"/>
      <c r="E204" s="72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75"/>
      <c r="W204" s="75"/>
      <c r="X204" s="75"/>
      <c r="Y204" s="75"/>
      <c r="Z204" s="75"/>
      <c r="AA204" s="75"/>
      <c r="AB204" s="78"/>
      <c r="AC204" s="78"/>
      <c r="AD204" s="75"/>
      <c r="AE204" s="75"/>
      <c r="AF204" s="75"/>
      <c r="AG204" s="75"/>
      <c r="AH204" s="75"/>
      <c r="AI204" s="72"/>
      <c r="AJ204" s="72"/>
      <c r="AK204" s="72"/>
      <c r="AL204" s="72"/>
      <c r="AM204" s="72"/>
      <c r="AN204" s="72"/>
      <c r="AO204" s="72"/>
      <c r="AP204" s="72"/>
      <c r="AQ204" s="72"/>
      <c r="AR204" s="72"/>
      <c r="AS204" s="72"/>
      <c r="AT204" s="72"/>
      <c r="AU204" s="72"/>
    </row>
    <row r="205" customFormat="false" ht="15.75" hidden="false" customHeight="false" outlineLevel="0" collapsed="false">
      <c r="A205" s="73"/>
      <c r="B205" s="72"/>
      <c r="C205" s="72"/>
      <c r="D205" s="72"/>
      <c r="E205" s="72"/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5"/>
      <c r="S205" s="75"/>
      <c r="T205" s="75"/>
      <c r="U205" s="75"/>
      <c r="V205" s="75"/>
      <c r="W205" s="75"/>
      <c r="X205" s="75"/>
      <c r="Y205" s="75"/>
      <c r="Z205" s="75"/>
      <c r="AA205" s="75"/>
      <c r="AB205" s="78"/>
      <c r="AC205" s="78"/>
      <c r="AD205" s="75"/>
      <c r="AE205" s="75"/>
      <c r="AF205" s="75"/>
      <c r="AG205" s="75"/>
      <c r="AH205" s="75"/>
      <c r="AI205" s="72"/>
      <c r="AJ205" s="72"/>
      <c r="AK205" s="72"/>
      <c r="AL205" s="72"/>
      <c r="AM205" s="72"/>
      <c r="AN205" s="72"/>
      <c r="AO205" s="72"/>
      <c r="AP205" s="72"/>
      <c r="AQ205" s="72"/>
      <c r="AR205" s="72"/>
      <c r="AS205" s="72"/>
      <c r="AT205" s="72"/>
      <c r="AU205" s="72"/>
    </row>
    <row r="206" customFormat="false" ht="15.75" hidden="false" customHeight="false" outlineLevel="0" collapsed="false">
      <c r="A206" s="73"/>
      <c r="B206" s="72"/>
      <c r="C206" s="72"/>
      <c r="D206" s="72"/>
      <c r="E206" s="72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5"/>
      <c r="AA206" s="75"/>
      <c r="AB206" s="78"/>
      <c r="AC206" s="78"/>
      <c r="AD206" s="75"/>
      <c r="AE206" s="75"/>
      <c r="AF206" s="75"/>
      <c r="AG206" s="75"/>
      <c r="AH206" s="75"/>
      <c r="AI206" s="72"/>
      <c r="AJ206" s="72"/>
      <c r="AK206" s="72"/>
      <c r="AL206" s="72"/>
      <c r="AM206" s="72"/>
      <c r="AN206" s="72"/>
      <c r="AO206" s="72"/>
      <c r="AP206" s="72"/>
      <c r="AQ206" s="72"/>
      <c r="AR206" s="72"/>
      <c r="AS206" s="72"/>
      <c r="AT206" s="72"/>
      <c r="AU206" s="72"/>
    </row>
    <row r="207" customFormat="false" ht="15.75" hidden="false" customHeight="false" outlineLevel="0" collapsed="false">
      <c r="A207" s="73"/>
      <c r="B207" s="72"/>
      <c r="C207" s="72"/>
      <c r="D207" s="72"/>
      <c r="E207" s="72"/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  <c r="S207" s="75"/>
      <c r="T207" s="75"/>
      <c r="U207" s="75"/>
      <c r="V207" s="75"/>
      <c r="W207" s="75"/>
      <c r="X207" s="75"/>
      <c r="Y207" s="75"/>
      <c r="Z207" s="75"/>
      <c r="AA207" s="75"/>
      <c r="AB207" s="78"/>
      <c r="AC207" s="78"/>
      <c r="AD207" s="75"/>
      <c r="AE207" s="75"/>
      <c r="AF207" s="75"/>
      <c r="AG207" s="75"/>
      <c r="AH207" s="75"/>
      <c r="AI207" s="72"/>
      <c r="AJ207" s="72"/>
      <c r="AK207" s="72"/>
      <c r="AL207" s="72"/>
      <c r="AM207" s="72"/>
      <c r="AN207" s="72"/>
      <c r="AO207" s="72"/>
      <c r="AP207" s="72"/>
      <c r="AQ207" s="72"/>
      <c r="AR207" s="72"/>
      <c r="AS207" s="72"/>
      <c r="AT207" s="72"/>
      <c r="AU207" s="72"/>
    </row>
    <row r="208" customFormat="false" ht="15.75" hidden="false" customHeight="false" outlineLevel="0" collapsed="false">
      <c r="A208" s="73"/>
      <c r="B208" s="72"/>
      <c r="C208" s="72"/>
      <c r="D208" s="72"/>
      <c r="E208" s="72"/>
      <c r="F208" s="75"/>
      <c r="G208" s="75"/>
      <c r="H208" s="75"/>
      <c r="I208" s="75"/>
      <c r="J208" s="75"/>
      <c r="K208" s="75"/>
      <c r="L208" s="75"/>
      <c r="M208" s="75"/>
      <c r="N208" s="75"/>
      <c r="O208" s="75"/>
      <c r="P208" s="75"/>
      <c r="Q208" s="75"/>
      <c r="R208" s="75"/>
      <c r="S208" s="75"/>
      <c r="T208" s="75"/>
      <c r="U208" s="75"/>
      <c r="V208" s="75"/>
      <c r="W208" s="75"/>
      <c r="X208" s="75"/>
      <c r="Y208" s="75"/>
      <c r="Z208" s="75"/>
      <c r="AA208" s="75"/>
      <c r="AB208" s="78"/>
      <c r="AC208" s="78"/>
      <c r="AD208" s="75"/>
      <c r="AE208" s="75"/>
      <c r="AF208" s="75"/>
      <c r="AG208" s="75"/>
      <c r="AH208" s="75"/>
      <c r="AI208" s="72"/>
      <c r="AJ208" s="72"/>
      <c r="AK208" s="72"/>
      <c r="AL208" s="72"/>
      <c r="AM208" s="72"/>
      <c r="AN208" s="72"/>
      <c r="AO208" s="72"/>
      <c r="AP208" s="72"/>
      <c r="AQ208" s="72"/>
      <c r="AR208" s="72"/>
      <c r="AS208" s="72"/>
      <c r="AT208" s="72"/>
      <c r="AU208" s="72"/>
    </row>
    <row r="209" customFormat="false" ht="15.75" hidden="false" customHeight="false" outlineLevel="0" collapsed="false">
      <c r="A209" s="73"/>
      <c r="B209" s="72"/>
      <c r="C209" s="72"/>
      <c r="D209" s="72"/>
      <c r="E209" s="72"/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75"/>
      <c r="X209" s="75"/>
      <c r="Y209" s="75"/>
      <c r="Z209" s="75"/>
      <c r="AA209" s="75"/>
      <c r="AB209" s="78"/>
      <c r="AC209" s="78"/>
      <c r="AD209" s="75"/>
      <c r="AE209" s="75"/>
      <c r="AF209" s="75"/>
      <c r="AG209" s="75"/>
      <c r="AH209" s="75"/>
      <c r="AI209" s="72"/>
      <c r="AJ209" s="72"/>
      <c r="AK209" s="72"/>
      <c r="AL209" s="72"/>
      <c r="AM209" s="72"/>
      <c r="AN209" s="72"/>
      <c r="AO209" s="72"/>
      <c r="AP209" s="72"/>
      <c r="AQ209" s="72"/>
      <c r="AR209" s="72"/>
      <c r="AS209" s="72"/>
      <c r="AT209" s="72"/>
      <c r="AU209" s="72"/>
    </row>
    <row r="210" customFormat="false" ht="15.75" hidden="false" customHeight="false" outlineLevel="0" collapsed="false">
      <c r="A210" s="73"/>
      <c r="B210" s="72"/>
      <c r="C210" s="72"/>
      <c r="D210" s="72"/>
      <c r="E210" s="72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  <c r="R210" s="75"/>
      <c r="S210" s="75"/>
      <c r="T210" s="75"/>
      <c r="U210" s="75"/>
      <c r="V210" s="75"/>
      <c r="W210" s="75"/>
      <c r="X210" s="75"/>
      <c r="Y210" s="75"/>
      <c r="Z210" s="75"/>
      <c r="AA210" s="75"/>
      <c r="AB210" s="78"/>
      <c r="AC210" s="78"/>
      <c r="AD210" s="75"/>
      <c r="AE210" s="75"/>
      <c r="AF210" s="75"/>
      <c r="AG210" s="75"/>
      <c r="AH210" s="75"/>
      <c r="AI210" s="72"/>
      <c r="AJ210" s="72"/>
      <c r="AK210" s="72"/>
      <c r="AL210" s="72"/>
      <c r="AM210" s="72"/>
      <c r="AN210" s="72"/>
      <c r="AO210" s="72"/>
      <c r="AP210" s="72"/>
      <c r="AQ210" s="72"/>
      <c r="AR210" s="72"/>
      <c r="AS210" s="72"/>
      <c r="AT210" s="72"/>
      <c r="AU210" s="72"/>
    </row>
    <row r="211" customFormat="false" ht="15.75" hidden="false" customHeight="false" outlineLevel="0" collapsed="false">
      <c r="A211" s="73"/>
      <c r="B211" s="72"/>
      <c r="C211" s="72"/>
      <c r="D211" s="72"/>
      <c r="E211" s="72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  <c r="Q211" s="75"/>
      <c r="R211" s="75"/>
      <c r="S211" s="75"/>
      <c r="T211" s="75"/>
      <c r="U211" s="75"/>
      <c r="V211" s="75"/>
      <c r="W211" s="75"/>
      <c r="X211" s="75"/>
      <c r="Y211" s="75"/>
      <c r="Z211" s="75"/>
      <c r="AA211" s="75"/>
      <c r="AB211" s="78"/>
      <c r="AC211" s="78"/>
      <c r="AD211" s="75"/>
      <c r="AE211" s="75"/>
      <c r="AF211" s="75"/>
      <c r="AG211" s="75"/>
      <c r="AH211" s="75"/>
      <c r="AI211" s="72"/>
      <c r="AJ211" s="72"/>
      <c r="AK211" s="72"/>
      <c r="AL211" s="72"/>
      <c r="AM211" s="72"/>
      <c r="AN211" s="72"/>
      <c r="AO211" s="72"/>
      <c r="AP211" s="72"/>
      <c r="AQ211" s="72"/>
      <c r="AR211" s="72"/>
      <c r="AS211" s="72"/>
      <c r="AT211" s="72"/>
      <c r="AU211" s="72"/>
    </row>
    <row r="212" customFormat="false" ht="15.75" hidden="false" customHeight="false" outlineLevel="0" collapsed="false">
      <c r="A212" s="73"/>
      <c r="B212" s="72"/>
      <c r="C212" s="72"/>
      <c r="D212" s="72"/>
      <c r="E212" s="72"/>
      <c r="F212" s="75"/>
      <c r="G212" s="75"/>
      <c r="H212" s="75"/>
      <c r="I212" s="75"/>
      <c r="J212" s="75"/>
      <c r="K212" s="75"/>
      <c r="L212" s="75"/>
      <c r="M212" s="75"/>
      <c r="N212" s="75"/>
      <c r="O212" s="75"/>
      <c r="P212" s="75"/>
      <c r="Q212" s="75"/>
      <c r="R212" s="75"/>
      <c r="S212" s="75"/>
      <c r="T212" s="75"/>
      <c r="U212" s="75"/>
      <c r="V212" s="75"/>
      <c r="W212" s="75"/>
      <c r="X212" s="75"/>
      <c r="Y212" s="75"/>
      <c r="Z212" s="75"/>
      <c r="AA212" s="75"/>
      <c r="AB212" s="78"/>
      <c r="AC212" s="78"/>
      <c r="AD212" s="75"/>
      <c r="AE212" s="75"/>
      <c r="AF212" s="75"/>
      <c r="AG212" s="75"/>
      <c r="AH212" s="75"/>
      <c r="AI212" s="72"/>
      <c r="AJ212" s="72"/>
      <c r="AK212" s="72"/>
      <c r="AL212" s="72"/>
      <c r="AM212" s="72"/>
      <c r="AN212" s="72"/>
      <c r="AO212" s="72"/>
      <c r="AP212" s="72"/>
      <c r="AQ212" s="72"/>
      <c r="AR212" s="72"/>
      <c r="AS212" s="72"/>
      <c r="AT212" s="72"/>
      <c r="AU212" s="72"/>
    </row>
    <row r="213" customFormat="false" ht="15.75" hidden="false" customHeight="false" outlineLevel="0" collapsed="false">
      <c r="A213" s="73"/>
      <c r="B213" s="72"/>
      <c r="C213" s="72"/>
      <c r="D213" s="72"/>
      <c r="E213" s="72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  <c r="R213" s="75"/>
      <c r="S213" s="75"/>
      <c r="T213" s="75"/>
      <c r="U213" s="75"/>
      <c r="V213" s="75"/>
      <c r="W213" s="75"/>
      <c r="X213" s="75"/>
      <c r="Y213" s="75"/>
      <c r="Z213" s="75"/>
      <c r="AA213" s="75"/>
      <c r="AB213" s="78"/>
      <c r="AC213" s="78"/>
      <c r="AD213" s="75"/>
      <c r="AE213" s="75"/>
      <c r="AF213" s="75"/>
      <c r="AG213" s="75"/>
      <c r="AH213" s="75"/>
      <c r="AI213" s="72"/>
      <c r="AJ213" s="72"/>
      <c r="AK213" s="72"/>
      <c r="AL213" s="72"/>
      <c r="AM213" s="72"/>
      <c r="AN213" s="72"/>
      <c r="AO213" s="72"/>
      <c r="AP213" s="72"/>
      <c r="AQ213" s="72"/>
      <c r="AR213" s="72"/>
      <c r="AS213" s="72"/>
      <c r="AT213" s="72"/>
      <c r="AU213" s="72"/>
    </row>
    <row r="214" customFormat="false" ht="15.75" hidden="false" customHeight="false" outlineLevel="0" collapsed="false">
      <c r="A214" s="73"/>
      <c r="B214" s="72"/>
      <c r="C214" s="72"/>
      <c r="D214" s="72"/>
      <c r="E214" s="72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  <c r="R214" s="75"/>
      <c r="S214" s="75"/>
      <c r="T214" s="75"/>
      <c r="U214" s="75"/>
      <c r="V214" s="75"/>
      <c r="W214" s="75"/>
      <c r="X214" s="75"/>
      <c r="Y214" s="75"/>
      <c r="Z214" s="75"/>
      <c r="AA214" s="75"/>
      <c r="AB214" s="78"/>
      <c r="AC214" s="78"/>
      <c r="AD214" s="75"/>
      <c r="AE214" s="75"/>
      <c r="AF214" s="75"/>
      <c r="AG214" s="75"/>
      <c r="AH214" s="75"/>
      <c r="AI214" s="72"/>
      <c r="AJ214" s="72"/>
      <c r="AK214" s="72"/>
      <c r="AL214" s="72"/>
      <c r="AM214" s="72"/>
      <c r="AN214" s="72"/>
      <c r="AO214" s="72"/>
      <c r="AP214" s="72"/>
      <c r="AQ214" s="72"/>
      <c r="AR214" s="72"/>
      <c r="AS214" s="72"/>
      <c r="AT214" s="72"/>
      <c r="AU214" s="72"/>
    </row>
    <row r="215" customFormat="false" ht="15.75" hidden="false" customHeight="false" outlineLevel="0" collapsed="false">
      <c r="A215" s="73"/>
      <c r="B215" s="72"/>
      <c r="C215" s="72"/>
      <c r="D215" s="72"/>
      <c r="E215" s="72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75"/>
      <c r="X215" s="75"/>
      <c r="Y215" s="75"/>
      <c r="Z215" s="75"/>
      <c r="AA215" s="75"/>
      <c r="AB215" s="78"/>
      <c r="AC215" s="78"/>
      <c r="AD215" s="75"/>
      <c r="AE215" s="75"/>
      <c r="AF215" s="75"/>
      <c r="AG215" s="75"/>
      <c r="AH215" s="75"/>
      <c r="AI215" s="72"/>
      <c r="AJ215" s="72"/>
      <c r="AK215" s="72"/>
      <c r="AL215" s="72"/>
      <c r="AM215" s="72"/>
      <c r="AN215" s="72"/>
      <c r="AO215" s="72"/>
      <c r="AP215" s="72"/>
      <c r="AQ215" s="72"/>
      <c r="AR215" s="72"/>
      <c r="AS215" s="72"/>
      <c r="AT215" s="72"/>
      <c r="AU215" s="72"/>
    </row>
    <row r="216" customFormat="false" ht="15.75" hidden="false" customHeight="false" outlineLevel="0" collapsed="false">
      <c r="A216" s="73"/>
      <c r="B216" s="72"/>
      <c r="C216" s="72"/>
      <c r="D216" s="72"/>
      <c r="E216" s="72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  <c r="Q216" s="75"/>
      <c r="R216" s="75"/>
      <c r="S216" s="75"/>
      <c r="T216" s="75"/>
      <c r="U216" s="75"/>
      <c r="V216" s="75"/>
      <c r="W216" s="75"/>
      <c r="X216" s="75"/>
      <c r="Y216" s="75"/>
      <c r="Z216" s="75"/>
      <c r="AA216" s="75"/>
      <c r="AB216" s="78"/>
      <c r="AC216" s="78"/>
      <c r="AD216" s="75"/>
      <c r="AE216" s="75"/>
      <c r="AF216" s="75"/>
      <c r="AG216" s="75"/>
      <c r="AH216" s="75"/>
      <c r="AI216" s="72"/>
      <c r="AJ216" s="72"/>
      <c r="AK216" s="72"/>
      <c r="AL216" s="72"/>
      <c r="AM216" s="72"/>
      <c r="AN216" s="72"/>
      <c r="AO216" s="72"/>
      <c r="AP216" s="72"/>
      <c r="AQ216" s="72"/>
      <c r="AR216" s="72"/>
      <c r="AS216" s="72"/>
      <c r="AT216" s="72"/>
      <c r="AU216" s="72"/>
    </row>
    <row r="217" customFormat="false" ht="15.75" hidden="false" customHeight="false" outlineLevel="0" collapsed="false">
      <c r="A217" s="73"/>
      <c r="B217" s="72"/>
      <c r="C217" s="72"/>
      <c r="D217" s="72"/>
      <c r="E217" s="72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75"/>
      <c r="X217" s="75"/>
      <c r="Y217" s="75"/>
      <c r="Z217" s="75"/>
      <c r="AA217" s="75"/>
      <c r="AB217" s="78"/>
      <c r="AC217" s="78"/>
      <c r="AD217" s="75"/>
      <c r="AE217" s="75"/>
      <c r="AF217" s="75"/>
      <c r="AG217" s="75"/>
      <c r="AH217" s="75"/>
      <c r="AI217" s="72"/>
      <c r="AJ217" s="72"/>
      <c r="AK217" s="72"/>
      <c r="AL217" s="72"/>
      <c r="AM217" s="72"/>
      <c r="AN217" s="72"/>
      <c r="AO217" s="72"/>
      <c r="AP217" s="72"/>
      <c r="AQ217" s="72"/>
      <c r="AR217" s="72"/>
      <c r="AS217" s="72"/>
      <c r="AT217" s="72"/>
      <c r="AU217" s="72"/>
    </row>
    <row r="218" customFormat="false" ht="15.75" hidden="false" customHeight="false" outlineLevel="0" collapsed="false">
      <c r="A218" s="73"/>
      <c r="B218" s="72"/>
      <c r="C218" s="72"/>
      <c r="D218" s="72"/>
      <c r="E218" s="72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  <c r="R218" s="75"/>
      <c r="S218" s="75"/>
      <c r="T218" s="75"/>
      <c r="U218" s="75"/>
      <c r="V218" s="75"/>
      <c r="W218" s="75"/>
      <c r="X218" s="75"/>
      <c r="Y218" s="75"/>
      <c r="Z218" s="75"/>
      <c r="AA218" s="75"/>
      <c r="AB218" s="78"/>
      <c r="AC218" s="78"/>
      <c r="AD218" s="75"/>
      <c r="AE218" s="75"/>
      <c r="AF218" s="75"/>
      <c r="AG218" s="75"/>
      <c r="AH218" s="75"/>
      <c r="AI218" s="72"/>
      <c r="AJ218" s="72"/>
      <c r="AK218" s="72"/>
      <c r="AL218" s="72"/>
      <c r="AM218" s="72"/>
      <c r="AN218" s="72"/>
      <c r="AO218" s="72"/>
      <c r="AP218" s="72"/>
      <c r="AQ218" s="72"/>
      <c r="AR218" s="72"/>
      <c r="AS218" s="72"/>
      <c r="AT218" s="72"/>
      <c r="AU218" s="72"/>
    </row>
    <row r="219" customFormat="false" ht="15.75" hidden="false" customHeight="false" outlineLevel="0" collapsed="false">
      <c r="A219" s="73"/>
      <c r="B219" s="72"/>
      <c r="C219" s="72"/>
      <c r="D219" s="72"/>
      <c r="E219" s="72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75"/>
      <c r="X219" s="75"/>
      <c r="Y219" s="75"/>
      <c r="Z219" s="75"/>
      <c r="AA219" s="75"/>
      <c r="AB219" s="78"/>
      <c r="AC219" s="78"/>
      <c r="AD219" s="75"/>
      <c r="AE219" s="75"/>
      <c r="AF219" s="75"/>
      <c r="AG219" s="75"/>
      <c r="AH219" s="75"/>
      <c r="AI219" s="72"/>
      <c r="AJ219" s="72"/>
      <c r="AK219" s="72"/>
      <c r="AL219" s="72"/>
      <c r="AM219" s="72"/>
      <c r="AN219" s="72"/>
      <c r="AO219" s="72"/>
      <c r="AP219" s="72"/>
      <c r="AQ219" s="72"/>
      <c r="AR219" s="72"/>
      <c r="AS219" s="72"/>
      <c r="AT219" s="72"/>
      <c r="AU219" s="72"/>
    </row>
    <row r="220" customFormat="false" ht="15.75" hidden="false" customHeight="false" outlineLevel="0" collapsed="false">
      <c r="A220" s="73"/>
      <c r="B220" s="72"/>
      <c r="C220" s="72"/>
      <c r="D220" s="72"/>
      <c r="E220" s="72"/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  <c r="R220" s="75"/>
      <c r="S220" s="75"/>
      <c r="T220" s="75"/>
      <c r="U220" s="75"/>
      <c r="V220" s="75"/>
      <c r="W220" s="75"/>
      <c r="X220" s="75"/>
      <c r="Y220" s="75"/>
      <c r="Z220" s="75"/>
      <c r="AA220" s="75"/>
      <c r="AB220" s="78"/>
      <c r="AC220" s="78"/>
      <c r="AD220" s="75"/>
      <c r="AE220" s="75"/>
      <c r="AF220" s="75"/>
      <c r="AG220" s="75"/>
      <c r="AH220" s="75"/>
      <c r="AI220" s="72"/>
      <c r="AJ220" s="72"/>
      <c r="AK220" s="72"/>
      <c r="AL220" s="72"/>
      <c r="AM220" s="72"/>
      <c r="AN220" s="72"/>
      <c r="AO220" s="72"/>
      <c r="AP220" s="72"/>
      <c r="AQ220" s="72"/>
      <c r="AR220" s="72"/>
      <c r="AS220" s="72"/>
      <c r="AT220" s="72"/>
      <c r="AU220" s="72"/>
    </row>
    <row r="221" customFormat="false" ht="15.75" hidden="false" customHeight="false" outlineLevel="0" collapsed="false">
      <c r="A221" s="73"/>
      <c r="B221" s="72"/>
      <c r="C221" s="72"/>
      <c r="D221" s="72"/>
      <c r="E221" s="72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  <c r="S221" s="75"/>
      <c r="T221" s="75"/>
      <c r="U221" s="75"/>
      <c r="V221" s="75"/>
      <c r="W221" s="75"/>
      <c r="X221" s="75"/>
      <c r="Y221" s="75"/>
      <c r="Z221" s="75"/>
      <c r="AA221" s="75"/>
      <c r="AB221" s="78"/>
      <c r="AC221" s="78"/>
      <c r="AD221" s="75"/>
      <c r="AE221" s="75"/>
      <c r="AF221" s="75"/>
      <c r="AG221" s="75"/>
      <c r="AH221" s="75"/>
      <c r="AI221" s="72"/>
      <c r="AJ221" s="72"/>
      <c r="AK221" s="72"/>
      <c r="AL221" s="72"/>
      <c r="AM221" s="72"/>
      <c r="AN221" s="72"/>
      <c r="AO221" s="72"/>
      <c r="AP221" s="72"/>
      <c r="AQ221" s="72"/>
      <c r="AR221" s="72"/>
      <c r="AS221" s="72"/>
      <c r="AT221" s="72"/>
      <c r="AU221" s="72"/>
    </row>
    <row r="222" customFormat="false" ht="15.75" hidden="false" customHeight="false" outlineLevel="0" collapsed="false">
      <c r="A222" s="73"/>
      <c r="B222" s="72"/>
      <c r="C222" s="72"/>
      <c r="D222" s="72"/>
      <c r="E222" s="72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  <c r="R222" s="75"/>
      <c r="S222" s="75"/>
      <c r="T222" s="75"/>
      <c r="U222" s="75"/>
      <c r="V222" s="75"/>
      <c r="W222" s="75"/>
      <c r="X222" s="75"/>
      <c r="Y222" s="75"/>
      <c r="Z222" s="75"/>
      <c r="AA222" s="75"/>
      <c r="AB222" s="78"/>
      <c r="AC222" s="78"/>
      <c r="AD222" s="75"/>
      <c r="AE222" s="75"/>
      <c r="AF222" s="75"/>
      <c r="AG222" s="75"/>
      <c r="AH222" s="75"/>
      <c r="AI222" s="72"/>
      <c r="AJ222" s="72"/>
      <c r="AK222" s="72"/>
      <c r="AL222" s="72"/>
      <c r="AM222" s="72"/>
      <c r="AN222" s="72"/>
      <c r="AO222" s="72"/>
      <c r="AP222" s="72"/>
      <c r="AQ222" s="72"/>
      <c r="AR222" s="72"/>
      <c r="AS222" s="72"/>
      <c r="AT222" s="72"/>
      <c r="AU222" s="72"/>
    </row>
    <row r="223" customFormat="false" ht="15.75" hidden="false" customHeight="false" outlineLevel="0" collapsed="false">
      <c r="A223" s="73"/>
      <c r="B223" s="72"/>
      <c r="C223" s="72"/>
      <c r="D223" s="72"/>
      <c r="E223" s="72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  <c r="Q223" s="75"/>
      <c r="R223" s="75"/>
      <c r="S223" s="75"/>
      <c r="T223" s="75"/>
      <c r="U223" s="75"/>
      <c r="V223" s="75"/>
      <c r="W223" s="75"/>
      <c r="X223" s="75"/>
      <c r="Y223" s="75"/>
      <c r="Z223" s="75"/>
      <c r="AA223" s="75"/>
      <c r="AB223" s="78"/>
      <c r="AC223" s="78"/>
      <c r="AD223" s="75"/>
      <c r="AE223" s="75"/>
      <c r="AF223" s="75"/>
      <c r="AG223" s="75"/>
      <c r="AH223" s="75"/>
      <c r="AI223" s="72"/>
      <c r="AJ223" s="72"/>
      <c r="AK223" s="72"/>
      <c r="AL223" s="72"/>
      <c r="AM223" s="72"/>
      <c r="AN223" s="72"/>
      <c r="AO223" s="72"/>
      <c r="AP223" s="72"/>
      <c r="AQ223" s="72"/>
      <c r="AR223" s="72"/>
      <c r="AS223" s="72"/>
      <c r="AT223" s="72"/>
      <c r="AU223" s="72"/>
    </row>
    <row r="224" customFormat="false" ht="15.75" hidden="false" customHeight="false" outlineLevel="0" collapsed="false">
      <c r="A224" s="73"/>
      <c r="B224" s="72"/>
      <c r="C224" s="72"/>
      <c r="D224" s="72"/>
      <c r="E224" s="72"/>
      <c r="F224" s="75"/>
      <c r="G224" s="75"/>
      <c r="H224" s="75"/>
      <c r="I224" s="75"/>
      <c r="J224" s="75"/>
      <c r="K224" s="75"/>
      <c r="L224" s="75"/>
      <c r="M224" s="75"/>
      <c r="N224" s="75"/>
      <c r="O224" s="75"/>
      <c r="P224" s="75"/>
      <c r="Q224" s="75"/>
      <c r="R224" s="75"/>
      <c r="S224" s="75"/>
      <c r="T224" s="75"/>
      <c r="U224" s="75"/>
      <c r="V224" s="75"/>
      <c r="W224" s="75"/>
      <c r="X224" s="75"/>
      <c r="Y224" s="75"/>
      <c r="Z224" s="75"/>
      <c r="AA224" s="75"/>
      <c r="AB224" s="78"/>
      <c r="AC224" s="78"/>
      <c r="AD224" s="75"/>
      <c r="AE224" s="75"/>
      <c r="AF224" s="75"/>
      <c r="AG224" s="75"/>
      <c r="AH224" s="75"/>
      <c r="AI224" s="72"/>
      <c r="AJ224" s="72"/>
      <c r="AK224" s="72"/>
      <c r="AL224" s="72"/>
      <c r="AM224" s="72"/>
      <c r="AN224" s="72"/>
      <c r="AO224" s="72"/>
      <c r="AP224" s="72"/>
      <c r="AQ224" s="72"/>
      <c r="AR224" s="72"/>
      <c r="AS224" s="72"/>
      <c r="AT224" s="72"/>
      <c r="AU224" s="72"/>
    </row>
    <row r="225" customFormat="false" ht="15.75" hidden="false" customHeight="false" outlineLevel="0" collapsed="false">
      <c r="A225" s="73"/>
      <c r="B225" s="72"/>
      <c r="C225" s="72"/>
      <c r="D225" s="72"/>
      <c r="E225" s="72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  <c r="R225" s="75"/>
      <c r="S225" s="75"/>
      <c r="T225" s="75"/>
      <c r="U225" s="75"/>
      <c r="V225" s="75"/>
      <c r="W225" s="75"/>
      <c r="X225" s="75"/>
      <c r="Y225" s="75"/>
      <c r="Z225" s="75"/>
      <c r="AA225" s="75"/>
      <c r="AB225" s="78"/>
      <c r="AC225" s="78"/>
      <c r="AD225" s="75"/>
      <c r="AE225" s="75"/>
      <c r="AF225" s="75"/>
      <c r="AG225" s="75"/>
      <c r="AH225" s="75"/>
      <c r="AI225" s="72"/>
      <c r="AJ225" s="72"/>
      <c r="AK225" s="72"/>
      <c r="AL225" s="72"/>
      <c r="AM225" s="72"/>
      <c r="AN225" s="72"/>
      <c r="AO225" s="72"/>
      <c r="AP225" s="72"/>
      <c r="AQ225" s="72"/>
      <c r="AR225" s="72"/>
      <c r="AS225" s="72"/>
      <c r="AT225" s="72"/>
      <c r="AU225" s="72"/>
    </row>
    <row r="226" customFormat="false" ht="15.75" hidden="false" customHeight="false" outlineLevel="0" collapsed="false">
      <c r="A226" s="73"/>
      <c r="B226" s="72"/>
      <c r="C226" s="72"/>
      <c r="D226" s="72"/>
      <c r="E226" s="72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  <c r="R226" s="75"/>
      <c r="S226" s="75"/>
      <c r="T226" s="75"/>
      <c r="U226" s="75"/>
      <c r="V226" s="75"/>
      <c r="W226" s="75"/>
      <c r="X226" s="75"/>
      <c r="Y226" s="75"/>
      <c r="Z226" s="75"/>
      <c r="AA226" s="75"/>
      <c r="AB226" s="78"/>
      <c r="AC226" s="78"/>
      <c r="AD226" s="75"/>
      <c r="AE226" s="75"/>
      <c r="AF226" s="75"/>
      <c r="AG226" s="75"/>
      <c r="AH226" s="75"/>
      <c r="AI226" s="72"/>
      <c r="AJ226" s="72"/>
      <c r="AK226" s="72"/>
      <c r="AL226" s="72"/>
      <c r="AM226" s="72"/>
      <c r="AN226" s="72"/>
      <c r="AO226" s="72"/>
      <c r="AP226" s="72"/>
      <c r="AQ226" s="72"/>
      <c r="AR226" s="72"/>
      <c r="AS226" s="72"/>
      <c r="AT226" s="72"/>
      <c r="AU226" s="72"/>
    </row>
    <row r="227" customFormat="false" ht="15.75" hidden="false" customHeight="false" outlineLevel="0" collapsed="false">
      <c r="A227" s="73"/>
      <c r="B227" s="72"/>
      <c r="C227" s="72"/>
      <c r="D227" s="72"/>
      <c r="E227" s="72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5"/>
      <c r="U227" s="75"/>
      <c r="V227" s="75"/>
      <c r="W227" s="75"/>
      <c r="X227" s="75"/>
      <c r="Y227" s="75"/>
      <c r="Z227" s="75"/>
      <c r="AA227" s="75"/>
      <c r="AB227" s="78"/>
      <c r="AC227" s="78"/>
      <c r="AD227" s="75"/>
      <c r="AE227" s="75"/>
      <c r="AF227" s="75"/>
      <c r="AG227" s="75"/>
      <c r="AH227" s="75"/>
      <c r="AI227" s="72"/>
      <c r="AJ227" s="72"/>
      <c r="AK227" s="72"/>
      <c r="AL227" s="72"/>
      <c r="AM227" s="72"/>
      <c r="AN227" s="72"/>
      <c r="AO227" s="72"/>
      <c r="AP227" s="72"/>
      <c r="AQ227" s="72"/>
      <c r="AR227" s="72"/>
      <c r="AS227" s="72"/>
      <c r="AT227" s="72"/>
      <c r="AU227" s="72"/>
    </row>
    <row r="228" customFormat="false" ht="15.75" hidden="false" customHeight="false" outlineLevel="0" collapsed="false">
      <c r="A228" s="73"/>
      <c r="B228" s="72"/>
      <c r="C228" s="72"/>
      <c r="D228" s="72"/>
      <c r="E228" s="72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  <c r="Q228" s="75"/>
      <c r="R228" s="75"/>
      <c r="S228" s="75"/>
      <c r="T228" s="75"/>
      <c r="U228" s="75"/>
      <c r="V228" s="75"/>
      <c r="W228" s="75"/>
      <c r="X228" s="75"/>
      <c r="Y228" s="75"/>
      <c r="Z228" s="75"/>
      <c r="AA228" s="75"/>
      <c r="AB228" s="78"/>
      <c r="AC228" s="78"/>
      <c r="AD228" s="75"/>
      <c r="AE228" s="75"/>
      <c r="AF228" s="75"/>
      <c r="AG228" s="75"/>
      <c r="AH228" s="75"/>
      <c r="AI228" s="72"/>
      <c r="AJ228" s="72"/>
      <c r="AK228" s="72"/>
      <c r="AL228" s="72"/>
      <c r="AM228" s="72"/>
      <c r="AN228" s="72"/>
      <c r="AO228" s="72"/>
      <c r="AP228" s="72"/>
      <c r="AQ228" s="72"/>
      <c r="AR228" s="72"/>
      <c r="AS228" s="72"/>
      <c r="AT228" s="72"/>
      <c r="AU228" s="72"/>
    </row>
    <row r="229" customFormat="false" ht="15.75" hidden="false" customHeight="false" outlineLevel="0" collapsed="false">
      <c r="A229" s="73"/>
      <c r="B229" s="72"/>
      <c r="C229" s="72"/>
      <c r="D229" s="72"/>
      <c r="E229" s="72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  <c r="Q229" s="75"/>
      <c r="R229" s="75"/>
      <c r="S229" s="75"/>
      <c r="T229" s="75"/>
      <c r="U229" s="75"/>
      <c r="V229" s="75"/>
      <c r="W229" s="75"/>
      <c r="X229" s="75"/>
      <c r="Y229" s="75"/>
      <c r="Z229" s="75"/>
      <c r="AA229" s="75"/>
      <c r="AB229" s="78"/>
      <c r="AC229" s="78"/>
      <c r="AD229" s="75"/>
      <c r="AE229" s="75"/>
      <c r="AF229" s="75"/>
      <c r="AG229" s="75"/>
      <c r="AH229" s="75"/>
      <c r="AI229" s="72"/>
      <c r="AJ229" s="72"/>
      <c r="AK229" s="72"/>
      <c r="AL229" s="72"/>
      <c r="AM229" s="72"/>
      <c r="AN229" s="72"/>
      <c r="AO229" s="72"/>
      <c r="AP229" s="72"/>
      <c r="AQ229" s="72"/>
      <c r="AR229" s="72"/>
      <c r="AS229" s="72"/>
      <c r="AT229" s="72"/>
      <c r="AU229" s="72"/>
    </row>
    <row r="230" customFormat="false" ht="15.75" hidden="false" customHeight="false" outlineLevel="0" collapsed="false">
      <c r="A230" s="73"/>
      <c r="B230" s="72"/>
      <c r="C230" s="72"/>
      <c r="D230" s="72"/>
      <c r="E230" s="72"/>
      <c r="F230" s="75"/>
      <c r="G230" s="75"/>
      <c r="H230" s="75"/>
      <c r="I230" s="75"/>
      <c r="J230" s="75"/>
      <c r="K230" s="75"/>
      <c r="L230" s="75"/>
      <c r="M230" s="75"/>
      <c r="N230" s="75"/>
      <c r="O230" s="75"/>
      <c r="P230" s="75"/>
      <c r="Q230" s="75"/>
      <c r="R230" s="75"/>
      <c r="S230" s="75"/>
      <c r="T230" s="75"/>
      <c r="U230" s="75"/>
      <c r="V230" s="75"/>
      <c r="W230" s="75"/>
      <c r="X230" s="75"/>
      <c r="Y230" s="75"/>
      <c r="Z230" s="75"/>
      <c r="AA230" s="75"/>
      <c r="AB230" s="78"/>
      <c r="AC230" s="78"/>
      <c r="AD230" s="75"/>
      <c r="AE230" s="75"/>
      <c r="AF230" s="75"/>
      <c r="AG230" s="75"/>
      <c r="AH230" s="75"/>
      <c r="AI230" s="72"/>
      <c r="AJ230" s="72"/>
      <c r="AK230" s="72"/>
      <c r="AL230" s="72"/>
      <c r="AM230" s="72"/>
      <c r="AN230" s="72"/>
      <c r="AO230" s="72"/>
      <c r="AP230" s="72"/>
      <c r="AQ230" s="72"/>
      <c r="AR230" s="72"/>
      <c r="AS230" s="72"/>
      <c r="AT230" s="72"/>
      <c r="AU230" s="72"/>
    </row>
    <row r="231" customFormat="false" ht="15.75" hidden="false" customHeight="false" outlineLevel="0" collapsed="false">
      <c r="A231" s="73"/>
      <c r="B231" s="72"/>
      <c r="C231" s="72"/>
      <c r="D231" s="72"/>
      <c r="E231" s="72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  <c r="Q231" s="75"/>
      <c r="R231" s="75"/>
      <c r="S231" s="75"/>
      <c r="T231" s="75"/>
      <c r="U231" s="75"/>
      <c r="V231" s="75"/>
      <c r="W231" s="75"/>
      <c r="X231" s="75"/>
      <c r="Y231" s="75"/>
      <c r="Z231" s="75"/>
      <c r="AA231" s="75"/>
      <c r="AB231" s="78"/>
      <c r="AC231" s="78"/>
      <c r="AD231" s="75"/>
      <c r="AE231" s="75"/>
      <c r="AF231" s="75"/>
      <c r="AG231" s="75"/>
      <c r="AH231" s="75"/>
      <c r="AI231" s="72"/>
      <c r="AJ231" s="72"/>
      <c r="AK231" s="72"/>
      <c r="AL231" s="72"/>
      <c r="AM231" s="72"/>
      <c r="AN231" s="72"/>
      <c r="AO231" s="72"/>
      <c r="AP231" s="72"/>
      <c r="AQ231" s="72"/>
      <c r="AR231" s="72"/>
      <c r="AS231" s="72"/>
      <c r="AT231" s="72"/>
      <c r="AU231" s="72"/>
    </row>
    <row r="232" customFormat="false" ht="15.75" hidden="false" customHeight="false" outlineLevel="0" collapsed="false">
      <c r="A232" s="73"/>
      <c r="B232" s="72"/>
      <c r="C232" s="72"/>
      <c r="D232" s="72"/>
      <c r="E232" s="72"/>
      <c r="F232" s="75"/>
      <c r="G232" s="75"/>
      <c r="H232" s="75"/>
      <c r="I232" s="75"/>
      <c r="J232" s="75"/>
      <c r="K232" s="75"/>
      <c r="L232" s="75"/>
      <c r="M232" s="75"/>
      <c r="N232" s="75"/>
      <c r="O232" s="75"/>
      <c r="P232" s="75"/>
      <c r="Q232" s="75"/>
      <c r="R232" s="75"/>
      <c r="S232" s="75"/>
      <c r="T232" s="75"/>
      <c r="U232" s="75"/>
      <c r="V232" s="75"/>
      <c r="W232" s="75"/>
      <c r="X232" s="75"/>
      <c r="Y232" s="75"/>
      <c r="Z232" s="75"/>
      <c r="AA232" s="75"/>
      <c r="AB232" s="78"/>
      <c r="AC232" s="78"/>
      <c r="AD232" s="75"/>
      <c r="AE232" s="75"/>
      <c r="AF232" s="75"/>
      <c r="AG232" s="75"/>
      <c r="AH232" s="75"/>
      <c r="AI232" s="72"/>
      <c r="AJ232" s="72"/>
      <c r="AK232" s="72"/>
      <c r="AL232" s="72"/>
      <c r="AM232" s="72"/>
      <c r="AN232" s="72"/>
      <c r="AO232" s="72"/>
      <c r="AP232" s="72"/>
      <c r="AQ232" s="72"/>
      <c r="AR232" s="72"/>
      <c r="AS232" s="72"/>
      <c r="AT232" s="72"/>
      <c r="AU232" s="72"/>
    </row>
    <row r="233" customFormat="false" ht="15.75" hidden="false" customHeight="false" outlineLevel="0" collapsed="false">
      <c r="A233" s="73"/>
      <c r="B233" s="72"/>
      <c r="C233" s="72"/>
      <c r="D233" s="72"/>
      <c r="E233" s="72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  <c r="Q233" s="75"/>
      <c r="R233" s="75"/>
      <c r="S233" s="75"/>
      <c r="T233" s="75"/>
      <c r="U233" s="75"/>
      <c r="V233" s="75"/>
      <c r="W233" s="75"/>
      <c r="X233" s="75"/>
      <c r="Y233" s="75"/>
      <c r="Z233" s="75"/>
      <c r="AA233" s="75"/>
      <c r="AB233" s="78"/>
      <c r="AC233" s="78"/>
      <c r="AD233" s="75"/>
      <c r="AE233" s="75"/>
      <c r="AF233" s="75"/>
      <c r="AG233" s="75"/>
      <c r="AH233" s="75"/>
      <c r="AI233" s="72"/>
      <c r="AJ233" s="72"/>
      <c r="AK233" s="72"/>
      <c r="AL233" s="72"/>
      <c r="AM233" s="72"/>
      <c r="AN233" s="72"/>
      <c r="AO233" s="72"/>
      <c r="AP233" s="72"/>
      <c r="AQ233" s="72"/>
      <c r="AR233" s="72"/>
      <c r="AS233" s="72"/>
      <c r="AT233" s="72"/>
      <c r="AU233" s="72"/>
    </row>
    <row r="234" customFormat="false" ht="15.75" hidden="false" customHeight="false" outlineLevel="0" collapsed="false">
      <c r="A234" s="73"/>
      <c r="B234" s="72"/>
      <c r="C234" s="72"/>
      <c r="D234" s="72"/>
      <c r="E234" s="72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  <c r="Q234" s="75"/>
      <c r="R234" s="75"/>
      <c r="S234" s="75"/>
      <c r="T234" s="75"/>
      <c r="U234" s="75"/>
      <c r="V234" s="75"/>
      <c r="W234" s="75"/>
      <c r="X234" s="75"/>
      <c r="Y234" s="75"/>
      <c r="Z234" s="75"/>
      <c r="AA234" s="75"/>
      <c r="AB234" s="78"/>
      <c r="AC234" s="78"/>
      <c r="AD234" s="75"/>
      <c r="AE234" s="75"/>
      <c r="AF234" s="75"/>
      <c r="AG234" s="75"/>
      <c r="AH234" s="75"/>
      <c r="AI234" s="72"/>
      <c r="AJ234" s="72"/>
      <c r="AK234" s="72"/>
      <c r="AL234" s="72"/>
      <c r="AM234" s="72"/>
      <c r="AN234" s="72"/>
      <c r="AO234" s="72"/>
      <c r="AP234" s="72"/>
      <c r="AQ234" s="72"/>
      <c r="AR234" s="72"/>
      <c r="AS234" s="72"/>
      <c r="AT234" s="72"/>
      <c r="AU234" s="72"/>
    </row>
    <row r="235" customFormat="false" ht="15.75" hidden="false" customHeight="false" outlineLevel="0" collapsed="false">
      <c r="A235" s="73"/>
      <c r="B235" s="72"/>
      <c r="C235" s="72"/>
      <c r="D235" s="72"/>
      <c r="E235" s="72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  <c r="Q235" s="75"/>
      <c r="R235" s="75"/>
      <c r="S235" s="75"/>
      <c r="T235" s="75"/>
      <c r="U235" s="75"/>
      <c r="V235" s="75"/>
      <c r="W235" s="75"/>
      <c r="X235" s="75"/>
      <c r="Y235" s="75"/>
      <c r="Z235" s="75"/>
      <c r="AA235" s="75"/>
      <c r="AB235" s="78"/>
      <c r="AC235" s="78"/>
      <c r="AD235" s="75"/>
      <c r="AE235" s="75"/>
      <c r="AF235" s="75"/>
      <c r="AG235" s="75"/>
      <c r="AH235" s="75"/>
      <c r="AI235" s="72"/>
      <c r="AJ235" s="72"/>
      <c r="AK235" s="72"/>
      <c r="AL235" s="72"/>
      <c r="AM235" s="72"/>
      <c r="AN235" s="72"/>
      <c r="AO235" s="72"/>
      <c r="AP235" s="72"/>
      <c r="AQ235" s="72"/>
      <c r="AR235" s="72"/>
      <c r="AS235" s="72"/>
      <c r="AT235" s="72"/>
      <c r="AU235" s="72"/>
    </row>
    <row r="236" customFormat="false" ht="15.75" hidden="false" customHeight="false" outlineLevel="0" collapsed="false">
      <c r="A236" s="73"/>
      <c r="B236" s="72"/>
      <c r="C236" s="72"/>
      <c r="D236" s="72"/>
      <c r="E236" s="72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75"/>
      <c r="X236" s="75"/>
      <c r="Y236" s="75"/>
      <c r="Z236" s="75"/>
      <c r="AA236" s="75"/>
      <c r="AB236" s="78"/>
      <c r="AC236" s="78"/>
      <c r="AD236" s="75"/>
      <c r="AE236" s="75"/>
      <c r="AF236" s="75"/>
      <c r="AG236" s="75"/>
      <c r="AH236" s="75"/>
      <c r="AI236" s="72"/>
      <c r="AJ236" s="72"/>
      <c r="AK236" s="72"/>
      <c r="AL236" s="72"/>
      <c r="AM236" s="72"/>
      <c r="AN236" s="72"/>
      <c r="AO236" s="72"/>
      <c r="AP236" s="72"/>
      <c r="AQ236" s="72"/>
      <c r="AR236" s="72"/>
      <c r="AS236" s="72"/>
      <c r="AT236" s="72"/>
      <c r="AU236" s="72"/>
    </row>
    <row r="237" customFormat="false" ht="15.75" hidden="false" customHeight="false" outlineLevel="0" collapsed="false">
      <c r="A237" s="73"/>
      <c r="B237" s="72"/>
      <c r="C237" s="72"/>
      <c r="D237" s="72"/>
      <c r="E237" s="72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75"/>
      <c r="Q237" s="75"/>
      <c r="R237" s="75"/>
      <c r="S237" s="75"/>
      <c r="T237" s="75"/>
      <c r="U237" s="75"/>
      <c r="V237" s="75"/>
      <c r="W237" s="75"/>
      <c r="X237" s="75"/>
      <c r="Y237" s="75"/>
      <c r="Z237" s="75"/>
      <c r="AA237" s="75"/>
      <c r="AB237" s="78"/>
      <c r="AC237" s="78"/>
      <c r="AD237" s="75"/>
      <c r="AE237" s="75"/>
      <c r="AF237" s="75"/>
      <c r="AG237" s="75"/>
      <c r="AH237" s="75"/>
      <c r="AI237" s="72"/>
      <c r="AJ237" s="72"/>
      <c r="AK237" s="72"/>
      <c r="AL237" s="72"/>
      <c r="AM237" s="72"/>
      <c r="AN237" s="72"/>
      <c r="AO237" s="72"/>
      <c r="AP237" s="72"/>
      <c r="AQ237" s="72"/>
      <c r="AR237" s="72"/>
      <c r="AS237" s="72"/>
      <c r="AT237" s="72"/>
      <c r="AU237" s="72"/>
    </row>
    <row r="238" customFormat="false" ht="15.75" hidden="false" customHeight="false" outlineLevel="0" collapsed="false">
      <c r="A238" s="73"/>
      <c r="B238" s="72"/>
      <c r="C238" s="72"/>
      <c r="D238" s="72"/>
      <c r="E238" s="72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  <c r="R238" s="75"/>
      <c r="S238" s="75"/>
      <c r="T238" s="75"/>
      <c r="U238" s="75"/>
      <c r="V238" s="75"/>
      <c r="W238" s="75"/>
      <c r="X238" s="75"/>
      <c r="Y238" s="75"/>
      <c r="Z238" s="75"/>
      <c r="AA238" s="75"/>
      <c r="AB238" s="78"/>
      <c r="AC238" s="78"/>
      <c r="AD238" s="75"/>
      <c r="AE238" s="75"/>
      <c r="AF238" s="75"/>
      <c r="AG238" s="75"/>
      <c r="AH238" s="75"/>
      <c r="AI238" s="72"/>
      <c r="AJ238" s="72"/>
      <c r="AK238" s="72"/>
      <c r="AL238" s="72"/>
      <c r="AM238" s="72"/>
      <c r="AN238" s="72"/>
      <c r="AO238" s="72"/>
      <c r="AP238" s="72"/>
      <c r="AQ238" s="72"/>
      <c r="AR238" s="72"/>
      <c r="AS238" s="72"/>
      <c r="AT238" s="72"/>
      <c r="AU238" s="72"/>
    </row>
    <row r="239" customFormat="false" ht="15.75" hidden="false" customHeight="false" outlineLevel="0" collapsed="false">
      <c r="A239" s="73"/>
      <c r="B239" s="72"/>
      <c r="C239" s="72"/>
      <c r="D239" s="72"/>
      <c r="E239" s="72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  <c r="Q239" s="75"/>
      <c r="R239" s="75"/>
      <c r="S239" s="75"/>
      <c r="T239" s="75"/>
      <c r="U239" s="75"/>
      <c r="V239" s="75"/>
      <c r="W239" s="75"/>
      <c r="X239" s="75"/>
      <c r="Y239" s="75"/>
      <c r="Z239" s="75"/>
      <c r="AA239" s="75"/>
      <c r="AB239" s="78"/>
      <c r="AC239" s="78"/>
      <c r="AD239" s="75"/>
      <c r="AE239" s="75"/>
      <c r="AF239" s="75"/>
      <c r="AG239" s="75"/>
      <c r="AH239" s="75"/>
      <c r="AI239" s="72"/>
      <c r="AJ239" s="72"/>
      <c r="AK239" s="72"/>
      <c r="AL239" s="72"/>
      <c r="AM239" s="72"/>
      <c r="AN239" s="72"/>
      <c r="AO239" s="72"/>
      <c r="AP239" s="72"/>
      <c r="AQ239" s="72"/>
      <c r="AR239" s="72"/>
      <c r="AS239" s="72"/>
      <c r="AT239" s="72"/>
      <c r="AU239" s="72"/>
    </row>
    <row r="240" customFormat="false" ht="15.75" hidden="false" customHeight="false" outlineLevel="0" collapsed="false">
      <c r="A240" s="73"/>
      <c r="B240" s="72"/>
      <c r="C240" s="72"/>
      <c r="D240" s="72"/>
      <c r="E240" s="72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  <c r="R240" s="75"/>
      <c r="S240" s="75"/>
      <c r="T240" s="75"/>
      <c r="U240" s="75"/>
      <c r="V240" s="75"/>
      <c r="W240" s="75"/>
      <c r="X240" s="75"/>
      <c r="Y240" s="75"/>
      <c r="Z240" s="75"/>
      <c r="AA240" s="75"/>
      <c r="AB240" s="78"/>
      <c r="AC240" s="78"/>
      <c r="AD240" s="75"/>
      <c r="AE240" s="75"/>
      <c r="AF240" s="75"/>
      <c r="AG240" s="75"/>
      <c r="AH240" s="75"/>
      <c r="AI240" s="72"/>
      <c r="AJ240" s="72"/>
      <c r="AK240" s="72"/>
      <c r="AL240" s="72"/>
      <c r="AM240" s="72"/>
      <c r="AN240" s="72"/>
      <c r="AO240" s="72"/>
      <c r="AP240" s="72"/>
      <c r="AQ240" s="72"/>
      <c r="AR240" s="72"/>
      <c r="AS240" s="72"/>
      <c r="AT240" s="72"/>
      <c r="AU240" s="72"/>
    </row>
    <row r="241" customFormat="false" ht="15.75" hidden="false" customHeight="false" outlineLevel="0" collapsed="false">
      <c r="A241" s="73"/>
      <c r="B241" s="72"/>
      <c r="C241" s="72"/>
      <c r="D241" s="72"/>
      <c r="E241" s="72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  <c r="R241" s="75"/>
      <c r="S241" s="75"/>
      <c r="T241" s="75"/>
      <c r="U241" s="75"/>
      <c r="V241" s="75"/>
      <c r="W241" s="75"/>
      <c r="X241" s="75"/>
      <c r="Y241" s="75"/>
      <c r="Z241" s="75"/>
      <c r="AA241" s="75"/>
      <c r="AB241" s="78"/>
      <c r="AC241" s="78"/>
      <c r="AD241" s="75"/>
      <c r="AE241" s="75"/>
      <c r="AF241" s="75"/>
      <c r="AG241" s="75"/>
      <c r="AH241" s="75"/>
      <c r="AI241" s="72"/>
      <c r="AJ241" s="72"/>
      <c r="AK241" s="72"/>
      <c r="AL241" s="72"/>
      <c r="AM241" s="72"/>
      <c r="AN241" s="72"/>
      <c r="AO241" s="72"/>
      <c r="AP241" s="72"/>
      <c r="AQ241" s="72"/>
      <c r="AR241" s="72"/>
      <c r="AS241" s="72"/>
      <c r="AT241" s="72"/>
      <c r="AU241" s="72"/>
    </row>
    <row r="242" customFormat="false" ht="15.75" hidden="false" customHeight="false" outlineLevel="0" collapsed="false">
      <c r="A242" s="73"/>
      <c r="B242" s="72"/>
      <c r="C242" s="72"/>
      <c r="D242" s="72"/>
      <c r="E242" s="72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  <c r="Q242" s="75"/>
      <c r="R242" s="75"/>
      <c r="S242" s="75"/>
      <c r="T242" s="75"/>
      <c r="U242" s="75"/>
      <c r="V242" s="75"/>
      <c r="W242" s="75"/>
      <c r="X242" s="75"/>
      <c r="Y242" s="75"/>
      <c r="Z242" s="75"/>
      <c r="AA242" s="75"/>
      <c r="AB242" s="78"/>
      <c r="AC242" s="78"/>
      <c r="AD242" s="75"/>
      <c r="AE242" s="75"/>
      <c r="AF242" s="75"/>
      <c r="AG242" s="75"/>
      <c r="AH242" s="75"/>
      <c r="AI242" s="72"/>
      <c r="AJ242" s="72"/>
      <c r="AK242" s="72"/>
      <c r="AL242" s="72"/>
      <c r="AM242" s="72"/>
      <c r="AN242" s="72"/>
      <c r="AO242" s="72"/>
      <c r="AP242" s="72"/>
      <c r="AQ242" s="72"/>
      <c r="AR242" s="72"/>
      <c r="AS242" s="72"/>
      <c r="AT242" s="72"/>
      <c r="AU242" s="72"/>
    </row>
    <row r="243" customFormat="false" ht="15.75" hidden="false" customHeight="false" outlineLevel="0" collapsed="false">
      <c r="A243" s="73"/>
      <c r="B243" s="72"/>
      <c r="C243" s="72"/>
      <c r="D243" s="72"/>
      <c r="E243" s="72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  <c r="Q243" s="75"/>
      <c r="R243" s="75"/>
      <c r="S243" s="75"/>
      <c r="T243" s="75"/>
      <c r="U243" s="75"/>
      <c r="V243" s="75"/>
      <c r="W243" s="75"/>
      <c r="X243" s="75"/>
      <c r="Y243" s="75"/>
      <c r="Z243" s="75"/>
      <c r="AA243" s="75"/>
      <c r="AB243" s="78"/>
      <c r="AC243" s="78"/>
      <c r="AD243" s="75"/>
      <c r="AE243" s="75"/>
      <c r="AF243" s="75"/>
      <c r="AG243" s="75"/>
      <c r="AH243" s="75"/>
      <c r="AI243" s="72"/>
      <c r="AJ243" s="72"/>
      <c r="AK243" s="72"/>
      <c r="AL243" s="72"/>
      <c r="AM243" s="72"/>
      <c r="AN243" s="72"/>
      <c r="AO243" s="72"/>
      <c r="AP243" s="72"/>
      <c r="AQ243" s="72"/>
      <c r="AR243" s="72"/>
      <c r="AS243" s="72"/>
      <c r="AT243" s="72"/>
      <c r="AU243" s="72"/>
    </row>
    <row r="244" customFormat="false" ht="15.75" hidden="false" customHeight="false" outlineLevel="0" collapsed="false">
      <c r="A244" s="73"/>
      <c r="B244" s="72"/>
      <c r="C244" s="72"/>
      <c r="D244" s="72"/>
      <c r="E244" s="72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  <c r="R244" s="75"/>
      <c r="S244" s="75"/>
      <c r="T244" s="75"/>
      <c r="U244" s="75"/>
      <c r="V244" s="75"/>
      <c r="W244" s="75"/>
      <c r="X244" s="75"/>
      <c r="Y244" s="75"/>
      <c r="Z244" s="75"/>
      <c r="AA244" s="75"/>
      <c r="AB244" s="78"/>
      <c r="AC244" s="78"/>
      <c r="AD244" s="75"/>
      <c r="AE244" s="75"/>
      <c r="AF244" s="75"/>
      <c r="AG244" s="75"/>
      <c r="AH244" s="75"/>
      <c r="AI244" s="72"/>
      <c r="AJ244" s="72"/>
      <c r="AK244" s="72"/>
      <c r="AL244" s="72"/>
      <c r="AM244" s="72"/>
      <c r="AN244" s="72"/>
      <c r="AO244" s="72"/>
      <c r="AP244" s="72"/>
      <c r="AQ244" s="72"/>
      <c r="AR244" s="72"/>
      <c r="AS244" s="72"/>
      <c r="AT244" s="72"/>
      <c r="AU244" s="72"/>
    </row>
    <row r="245" customFormat="false" ht="15.75" hidden="false" customHeight="false" outlineLevel="0" collapsed="false">
      <c r="A245" s="73"/>
      <c r="B245" s="72"/>
      <c r="C245" s="72"/>
      <c r="D245" s="72"/>
      <c r="E245" s="72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  <c r="R245" s="75"/>
      <c r="S245" s="75"/>
      <c r="T245" s="75"/>
      <c r="U245" s="75"/>
      <c r="V245" s="75"/>
      <c r="W245" s="75"/>
      <c r="X245" s="75"/>
      <c r="Y245" s="75"/>
      <c r="Z245" s="75"/>
      <c r="AA245" s="75"/>
      <c r="AB245" s="78"/>
      <c r="AC245" s="78"/>
      <c r="AD245" s="75"/>
      <c r="AE245" s="75"/>
      <c r="AF245" s="75"/>
      <c r="AG245" s="75"/>
      <c r="AH245" s="75"/>
      <c r="AI245" s="72"/>
      <c r="AJ245" s="72"/>
      <c r="AK245" s="72"/>
      <c r="AL245" s="72"/>
      <c r="AM245" s="72"/>
      <c r="AN245" s="72"/>
      <c r="AO245" s="72"/>
      <c r="AP245" s="72"/>
      <c r="AQ245" s="72"/>
      <c r="AR245" s="72"/>
      <c r="AS245" s="72"/>
      <c r="AT245" s="72"/>
      <c r="AU245" s="72"/>
    </row>
    <row r="246" customFormat="false" ht="15.75" hidden="false" customHeight="false" outlineLevel="0" collapsed="false">
      <c r="A246" s="73"/>
      <c r="B246" s="72"/>
      <c r="C246" s="72"/>
      <c r="D246" s="72"/>
      <c r="E246" s="72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  <c r="Q246" s="75"/>
      <c r="R246" s="75"/>
      <c r="S246" s="75"/>
      <c r="T246" s="75"/>
      <c r="U246" s="75"/>
      <c r="V246" s="75"/>
      <c r="W246" s="75"/>
      <c r="X246" s="75"/>
      <c r="Y246" s="75"/>
      <c r="Z246" s="75"/>
      <c r="AA246" s="75"/>
      <c r="AB246" s="78"/>
      <c r="AC246" s="78"/>
      <c r="AD246" s="75"/>
      <c r="AE246" s="75"/>
      <c r="AF246" s="75"/>
      <c r="AG246" s="75"/>
      <c r="AH246" s="75"/>
      <c r="AI246" s="72"/>
      <c r="AJ246" s="72"/>
      <c r="AK246" s="72"/>
      <c r="AL246" s="72"/>
      <c r="AM246" s="72"/>
      <c r="AN246" s="72"/>
      <c r="AO246" s="72"/>
      <c r="AP246" s="72"/>
      <c r="AQ246" s="72"/>
      <c r="AR246" s="72"/>
      <c r="AS246" s="72"/>
      <c r="AT246" s="72"/>
      <c r="AU246" s="72"/>
    </row>
    <row r="247" customFormat="false" ht="15.75" hidden="false" customHeight="false" outlineLevel="0" collapsed="false">
      <c r="A247" s="73"/>
      <c r="B247" s="72"/>
      <c r="C247" s="72"/>
      <c r="D247" s="72"/>
      <c r="E247" s="72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  <c r="R247" s="75"/>
      <c r="S247" s="75"/>
      <c r="T247" s="75"/>
      <c r="U247" s="75"/>
      <c r="V247" s="75"/>
      <c r="W247" s="75"/>
      <c r="X247" s="75"/>
      <c r="Y247" s="75"/>
      <c r="Z247" s="75"/>
      <c r="AA247" s="75"/>
      <c r="AB247" s="78"/>
      <c r="AC247" s="78"/>
      <c r="AD247" s="75"/>
      <c r="AE247" s="75"/>
      <c r="AF247" s="75"/>
      <c r="AG247" s="75"/>
      <c r="AH247" s="75"/>
      <c r="AI247" s="72"/>
      <c r="AJ247" s="72"/>
      <c r="AK247" s="72"/>
      <c r="AL247" s="72"/>
      <c r="AM247" s="72"/>
      <c r="AN247" s="72"/>
      <c r="AO247" s="72"/>
      <c r="AP247" s="72"/>
      <c r="AQ247" s="72"/>
      <c r="AR247" s="72"/>
      <c r="AS247" s="72"/>
      <c r="AT247" s="72"/>
      <c r="AU247" s="72"/>
    </row>
    <row r="248" customFormat="false" ht="15.75" hidden="false" customHeight="false" outlineLevel="0" collapsed="false">
      <c r="A248" s="73"/>
      <c r="B248" s="72"/>
      <c r="C248" s="72"/>
      <c r="D248" s="72"/>
      <c r="E248" s="72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75"/>
      <c r="R248" s="75"/>
      <c r="S248" s="75"/>
      <c r="T248" s="75"/>
      <c r="U248" s="75"/>
      <c r="V248" s="75"/>
      <c r="W248" s="75"/>
      <c r="X248" s="75"/>
      <c r="Y248" s="75"/>
      <c r="Z248" s="75"/>
      <c r="AA248" s="75"/>
      <c r="AB248" s="78"/>
      <c r="AC248" s="78"/>
      <c r="AD248" s="75"/>
      <c r="AE248" s="75"/>
      <c r="AF248" s="75"/>
      <c r="AG248" s="75"/>
      <c r="AH248" s="75"/>
      <c r="AI248" s="72"/>
      <c r="AJ248" s="72"/>
      <c r="AK248" s="72"/>
      <c r="AL248" s="72"/>
      <c r="AM248" s="72"/>
      <c r="AN248" s="72"/>
      <c r="AO248" s="72"/>
      <c r="AP248" s="72"/>
      <c r="AQ248" s="72"/>
      <c r="AR248" s="72"/>
      <c r="AS248" s="72"/>
      <c r="AT248" s="72"/>
      <c r="AU248" s="72"/>
    </row>
    <row r="249" customFormat="false" ht="15.75" hidden="false" customHeight="false" outlineLevel="0" collapsed="false">
      <c r="A249" s="73"/>
      <c r="B249" s="72"/>
      <c r="C249" s="72"/>
      <c r="D249" s="72"/>
      <c r="E249" s="72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  <c r="R249" s="75"/>
      <c r="S249" s="75"/>
      <c r="T249" s="75"/>
      <c r="U249" s="75"/>
      <c r="V249" s="75"/>
      <c r="W249" s="75"/>
      <c r="X249" s="75"/>
      <c r="Y249" s="75"/>
      <c r="Z249" s="75"/>
      <c r="AA249" s="75"/>
      <c r="AB249" s="78"/>
      <c r="AC249" s="78"/>
      <c r="AD249" s="75"/>
      <c r="AE249" s="75"/>
      <c r="AF249" s="75"/>
      <c r="AG249" s="75"/>
      <c r="AH249" s="75"/>
      <c r="AI249" s="72"/>
      <c r="AJ249" s="72"/>
      <c r="AK249" s="72"/>
      <c r="AL249" s="72"/>
      <c r="AM249" s="72"/>
      <c r="AN249" s="72"/>
      <c r="AO249" s="72"/>
      <c r="AP249" s="72"/>
      <c r="AQ249" s="72"/>
      <c r="AR249" s="72"/>
      <c r="AS249" s="72"/>
      <c r="AT249" s="72"/>
      <c r="AU249" s="72"/>
    </row>
    <row r="250" customFormat="false" ht="15.75" hidden="false" customHeight="false" outlineLevel="0" collapsed="false">
      <c r="A250" s="73"/>
      <c r="B250" s="72"/>
      <c r="C250" s="72"/>
      <c r="D250" s="72"/>
      <c r="E250" s="72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75"/>
      <c r="Q250" s="75"/>
      <c r="R250" s="75"/>
      <c r="S250" s="75"/>
      <c r="T250" s="75"/>
      <c r="U250" s="75"/>
      <c r="V250" s="75"/>
      <c r="W250" s="75"/>
      <c r="X250" s="75"/>
      <c r="Y250" s="75"/>
      <c r="Z250" s="75"/>
      <c r="AA250" s="75"/>
      <c r="AB250" s="78"/>
      <c r="AC250" s="78"/>
      <c r="AD250" s="75"/>
      <c r="AE250" s="75"/>
      <c r="AF250" s="75"/>
      <c r="AG250" s="75"/>
      <c r="AH250" s="75"/>
      <c r="AI250" s="72"/>
      <c r="AJ250" s="72"/>
      <c r="AK250" s="72"/>
      <c r="AL250" s="72"/>
      <c r="AM250" s="72"/>
      <c r="AN250" s="72"/>
      <c r="AO250" s="72"/>
      <c r="AP250" s="72"/>
      <c r="AQ250" s="72"/>
      <c r="AR250" s="72"/>
      <c r="AS250" s="72"/>
      <c r="AT250" s="72"/>
      <c r="AU250" s="72"/>
    </row>
    <row r="251" customFormat="false" ht="15.75" hidden="false" customHeight="false" outlineLevel="0" collapsed="false">
      <c r="A251" s="73"/>
      <c r="B251" s="72"/>
      <c r="C251" s="72"/>
      <c r="D251" s="72"/>
      <c r="E251" s="72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75"/>
      <c r="Q251" s="75"/>
      <c r="R251" s="75"/>
      <c r="S251" s="75"/>
      <c r="T251" s="75"/>
      <c r="U251" s="75"/>
      <c r="V251" s="75"/>
      <c r="W251" s="75"/>
      <c r="X251" s="75"/>
      <c r="Y251" s="75"/>
      <c r="Z251" s="75"/>
      <c r="AA251" s="75"/>
      <c r="AB251" s="78"/>
      <c r="AC251" s="78"/>
      <c r="AD251" s="75"/>
      <c r="AE251" s="75"/>
      <c r="AF251" s="75"/>
      <c r="AG251" s="75"/>
      <c r="AH251" s="75"/>
      <c r="AI251" s="72"/>
      <c r="AJ251" s="72"/>
      <c r="AK251" s="72"/>
      <c r="AL251" s="72"/>
      <c r="AM251" s="72"/>
      <c r="AN251" s="72"/>
      <c r="AO251" s="72"/>
      <c r="AP251" s="72"/>
      <c r="AQ251" s="72"/>
      <c r="AR251" s="72"/>
      <c r="AS251" s="72"/>
      <c r="AT251" s="72"/>
      <c r="AU251" s="72"/>
    </row>
    <row r="252" customFormat="false" ht="15.75" hidden="false" customHeight="false" outlineLevel="0" collapsed="false">
      <c r="A252" s="73"/>
      <c r="B252" s="72"/>
      <c r="C252" s="72"/>
      <c r="D252" s="72"/>
      <c r="E252" s="72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  <c r="Q252" s="75"/>
      <c r="R252" s="75"/>
      <c r="S252" s="75"/>
      <c r="T252" s="75"/>
      <c r="U252" s="75"/>
      <c r="V252" s="75"/>
      <c r="W252" s="75"/>
      <c r="X252" s="75"/>
      <c r="Y252" s="75"/>
      <c r="Z252" s="75"/>
      <c r="AA252" s="75"/>
      <c r="AB252" s="78"/>
      <c r="AC252" s="78"/>
      <c r="AD252" s="75"/>
      <c r="AE252" s="75"/>
      <c r="AF252" s="75"/>
      <c r="AG252" s="75"/>
      <c r="AH252" s="75"/>
      <c r="AI252" s="72"/>
      <c r="AJ252" s="72"/>
      <c r="AK252" s="72"/>
      <c r="AL252" s="72"/>
      <c r="AM252" s="72"/>
      <c r="AN252" s="72"/>
      <c r="AO252" s="72"/>
      <c r="AP252" s="72"/>
      <c r="AQ252" s="72"/>
      <c r="AR252" s="72"/>
      <c r="AS252" s="72"/>
      <c r="AT252" s="72"/>
      <c r="AU252" s="72"/>
    </row>
    <row r="253" customFormat="false" ht="15.75" hidden="false" customHeight="false" outlineLevel="0" collapsed="false">
      <c r="A253" s="73"/>
      <c r="B253" s="72"/>
      <c r="C253" s="72"/>
      <c r="D253" s="72"/>
      <c r="E253" s="72"/>
      <c r="F253" s="75"/>
      <c r="G253" s="75"/>
      <c r="H253" s="75"/>
      <c r="I253" s="75"/>
      <c r="J253" s="75"/>
      <c r="K253" s="75"/>
      <c r="L253" s="75"/>
      <c r="M253" s="75"/>
      <c r="N253" s="75"/>
      <c r="O253" s="75"/>
      <c r="P253" s="75"/>
      <c r="Q253" s="75"/>
      <c r="R253" s="75"/>
      <c r="S253" s="75"/>
      <c r="T253" s="75"/>
      <c r="U253" s="75"/>
      <c r="V253" s="75"/>
      <c r="W253" s="75"/>
      <c r="X253" s="75"/>
      <c r="Y253" s="75"/>
      <c r="Z253" s="75"/>
      <c r="AA253" s="75"/>
      <c r="AB253" s="78"/>
      <c r="AC253" s="78"/>
      <c r="AD253" s="75"/>
      <c r="AE253" s="75"/>
      <c r="AF253" s="75"/>
      <c r="AG253" s="75"/>
      <c r="AH253" s="75"/>
      <c r="AI253" s="72"/>
      <c r="AJ253" s="72"/>
      <c r="AK253" s="72"/>
      <c r="AL253" s="72"/>
      <c r="AM253" s="72"/>
      <c r="AN253" s="72"/>
      <c r="AO253" s="72"/>
      <c r="AP253" s="72"/>
      <c r="AQ253" s="72"/>
      <c r="AR253" s="72"/>
      <c r="AS253" s="72"/>
      <c r="AT253" s="72"/>
      <c r="AU253" s="72"/>
    </row>
    <row r="254" customFormat="false" ht="15.75" hidden="false" customHeight="false" outlineLevel="0" collapsed="false">
      <c r="A254" s="73"/>
      <c r="B254" s="72"/>
      <c r="C254" s="72"/>
      <c r="D254" s="72"/>
      <c r="E254" s="72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  <c r="Q254" s="75"/>
      <c r="R254" s="75"/>
      <c r="S254" s="75"/>
      <c r="T254" s="75"/>
      <c r="U254" s="75"/>
      <c r="V254" s="75"/>
      <c r="W254" s="75"/>
      <c r="X254" s="75"/>
      <c r="Y254" s="75"/>
      <c r="Z254" s="75"/>
      <c r="AA254" s="75"/>
      <c r="AB254" s="78"/>
      <c r="AC254" s="78"/>
      <c r="AD254" s="75"/>
      <c r="AE254" s="75"/>
      <c r="AF254" s="75"/>
      <c r="AG254" s="75"/>
      <c r="AH254" s="75"/>
      <c r="AI254" s="72"/>
      <c r="AJ254" s="72"/>
      <c r="AK254" s="72"/>
      <c r="AL254" s="72"/>
      <c r="AM254" s="72"/>
      <c r="AN254" s="72"/>
      <c r="AO254" s="72"/>
      <c r="AP254" s="72"/>
      <c r="AQ254" s="72"/>
      <c r="AR254" s="72"/>
      <c r="AS254" s="72"/>
      <c r="AT254" s="72"/>
      <c r="AU254" s="72"/>
    </row>
    <row r="255" customFormat="false" ht="15.75" hidden="false" customHeight="false" outlineLevel="0" collapsed="false">
      <c r="A255" s="73"/>
      <c r="B255" s="72"/>
      <c r="C255" s="72"/>
      <c r="D255" s="72"/>
      <c r="E255" s="72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5"/>
      <c r="S255" s="75"/>
      <c r="T255" s="75"/>
      <c r="U255" s="75"/>
      <c r="V255" s="75"/>
      <c r="W255" s="75"/>
      <c r="X255" s="75"/>
      <c r="Y255" s="75"/>
      <c r="Z255" s="75"/>
      <c r="AA255" s="75"/>
      <c r="AB255" s="78"/>
      <c r="AC255" s="78"/>
      <c r="AD255" s="75"/>
      <c r="AE255" s="75"/>
      <c r="AF255" s="75"/>
      <c r="AG255" s="75"/>
      <c r="AH255" s="75"/>
      <c r="AI255" s="72"/>
      <c r="AJ255" s="72"/>
      <c r="AK255" s="72"/>
      <c r="AL255" s="72"/>
      <c r="AM255" s="72"/>
      <c r="AN255" s="72"/>
      <c r="AO255" s="72"/>
      <c r="AP255" s="72"/>
      <c r="AQ255" s="72"/>
      <c r="AR255" s="72"/>
      <c r="AS255" s="72"/>
      <c r="AT255" s="72"/>
      <c r="AU255" s="72"/>
    </row>
    <row r="256" customFormat="false" ht="15.75" hidden="false" customHeight="false" outlineLevel="0" collapsed="false">
      <c r="A256" s="73"/>
      <c r="B256" s="72"/>
      <c r="C256" s="72"/>
      <c r="D256" s="72"/>
      <c r="E256" s="72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  <c r="Q256" s="75"/>
      <c r="R256" s="75"/>
      <c r="S256" s="75"/>
      <c r="T256" s="75"/>
      <c r="U256" s="75"/>
      <c r="V256" s="75"/>
      <c r="W256" s="75"/>
      <c r="X256" s="75"/>
      <c r="Y256" s="75"/>
      <c r="Z256" s="75"/>
      <c r="AA256" s="75"/>
      <c r="AB256" s="78"/>
      <c r="AC256" s="78"/>
      <c r="AD256" s="75"/>
      <c r="AE256" s="75"/>
      <c r="AF256" s="75"/>
      <c r="AG256" s="75"/>
      <c r="AH256" s="75"/>
      <c r="AI256" s="72"/>
      <c r="AJ256" s="72"/>
      <c r="AK256" s="72"/>
      <c r="AL256" s="72"/>
      <c r="AM256" s="72"/>
      <c r="AN256" s="72"/>
      <c r="AO256" s="72"/>
      <c r="AP256" s="72"/>
      <c r="AQ256" s="72"/>
      <c r="AR256" s="72"/>
      <c r="AS256" s="72"/>
      <c r="AT256" s="72"/>
      <c r="AU256" s="72"/>
    </row>
    <row r="257" customFormat="false" ht="15.75" hidden="false" customHeight="false" outlineLevel="0" collapsed="false">
      <c r="A257" s="73"/>
      <c r="B257" s="72"/>
      <c r="C257" s="72"/>
      <c r="D257" s="72"/>
      <c r="E257" s="72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  <c r="R257" s="75"/>
      <c r="S257" s="75"/>
      <c r="T257" s="75"/>
      <c r="U257" s="75"/>
      <c r="V257" s="75"/>
      <c r="W257" s="75"/>
      <c r="X257" s="75"/>
      <c r="Y257" s="75"/>
      <c r="Z257" s="75"/>
      <c r="AA257" s="75"/>
      <c r="AB257" s="78"/>
      <c r="AC257" s="78"/>
      <c r="AD257" s="75"/>
      <c r="AE257" s="75"/>
      <c r="AF257" s="75"/>
      <c r="AG257" s="75"/>
      <c r="AH257" s="75"/>
      <c r="AI257" s="72"/>
      <c r="AJ257" s="72"/>
      <c r="AK257" s="72"/>
      <c r="AL257" s="72"/>
      <c r="AM257" s="72"/>
      <c r="AN257" s="72"/>
      <c r="AO257" s="72"/>
      <c r="AP257" s="72"/>
      <c r="AQ257" s="72"/>
      <c r="AR257" s="72"/>
      <c r="AS257" s="72"/>
      <c r="AT257" s="72"/>
      <c r="AU257" s="72"/>
    </row>
    <row r="258" customFormat="false" ht="15.75" hidden="false" customHeight="false" outlineLevel="0" collapsed="false">
      <c r="A258" s="73"/>
      <c r="B258" s="72"/>
      <c r="C258" s="72"/>
      <c r="D258" s="72"/>
      <c r="E258" s="72"/>
      <c r="F258" s="75"/>
      <c r="G258" s="75"/>
      <c r="H258" s="75"/>
      <c r="I258" s="75"/>
      <c r="J258" s="75"/>
      <c r="K258" s="75"/>
      <c r="L258" s="75"/>
      <c r="M258" s="75"/>
      <c r="N258" s="75"/>
      <c r="O258" s="75"/>
      <c r="P258" s="75"/>
      <c r="Q258" s="75"/>
      <c r="R258" s="75"/>
      <c r="S258" s="75"/>
      <c r="T258" s="75"/>
      <c r="U258" s="75"/>
      <c r="V258" s="75"/>
      <c r="W258" s="75"/>
      <c r="X258" s="75"/>
      <c r="Y258" s="75"/>
      <c r="Z258" s="75"/>
      <c r="AA258" s="75"/>
      <c r="AB258" s="78"/>
      <c r="AC258" s="78"/>
      <c r="AD258" s="75"/>
      <c r="AE258" s="75"/>
      <c r="AF258" s="75"/>
      <c r="AG258" s="75"/>
      <c r="AH258" s="75"/>
      <c r="AI258" s="72"/>
      <c r="AJ258" s="72"/>
      <c r="AK258" s="72"/>
      <c r="AL258" s="72"/>
      <c r="AM258" s="72"/>
      <c r="AN258" s="72"/>
      <c r="AO258" s="72"/>
      <c r="AP258" s="72"/>
      <c r="AQ258" s="72"/>
      <c r="AR258" s="72"/>
      <c r="AS258" s="72"/>
      <c r="AT258" s="72"/>
      <c r="AU258" s="72"/>
    </row>
    <row r="259" customFormat="false" ht="15.75" hidden="false" customHeight="false" outlineLevel="0" collapsed="false">
      <c r="A259" s="73"/>
      <c r="B259" s="72"/>
      <c r="C259" s="72"/>
      <c r="D259" s="72"/>
      <c r="E259" s="72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75"/>
      <c r="Q259" s="75"/>
      <c r="R259" s="75"/>
      <c r="S259" s="75"/>
      <c r="T259" s="75"/>
      <c r="U259" s="75"/>
      <c r="V259" s="75"/>
      <c r="W259" s="75"/>
      <c r="X259" s="75"/>
      <c r="Y259" s="75"/>
      <c r="Z259" s="75"/>
      <c r="AA259" s="75"/>
      <c r="AB259" s="78"/>
      <c r="AC259" s="78"/>
      <c r="AD259" s="75"/>
      <c r="AE259" s="75"/>
      <c r="AF259" s="75"/>
      <c r="AG259" s="75"/>
      <c r="AH259" s="75"/>
      <c r="AI259" s="72"/>
      <c r="AJ259" s="72"/>
      <c r="AK259" s="72"/>
      <c r="AL259" s="72"/>
      <c r="AM259" s="72"/>
      <c r="AN259" s="72"/>
      <c r="AO259" s="72"/>
      <c r="AP259" s="72"/>
      <c r="AQ259" s="72"/>
      <c r="AR259" s="72"/>
      <c r="AS259" s="72"/>
      <c r="AT259" s="72"/>
      <c r="AU259" s="72"/>
    </row>
    <row r="260" customFormat="false" ht="15.75" hidden="false" customHeight="false" outlineLevel="0" collapsed="false">
      <c r="A260" s="73"/>
      <c r="B260" s="72"/>
      <c r="C260" s="72"/>
      <c r="D260" s="72"/>
      <c r="E260" s="72"/>
      <c r="F260" s="75"/>
      <c r="G260" s="75"/>
      <c r="H260" s="75"/>
      <c r="I260" s="75"/>
      <c r="J260" s="75"/>
      <c r="K260" s="75"/>
      <c r="L260" s="75"/>
      <c r="M260" s="75"/>
      <c r="N260" s="75"/>
      <c r="O260" s="75"/>
      <c r="P260" s="75"/>
      <c r="Q260" s="75"/>
      <c r="R260" s="75"/>
      <c r="S260" s="75"/>
      <c r="T260" s="75"/>
      <c r="U260" s="75"/>
      <c r="V260" s="75"/>
      <c r="W260" s="75"/>
      <c r="X260" s="75"/>
      <c r="Y260" s="75"/>
      <c r="Z260" s="75"/>
      <c r="AA260" s="75"/>
      <c r="AB260" s="78"/>
      <c r="AC260" s="78"/>
      <c r="AD260" s="75"/>
      <c r="AE260" s="75"/>
      <c r="AF260" s="75"/>
      <c r="AG260" s="75"/>
      <c r="AH260" s="75"/>
      <c r="AI260" s="72"/>
      <c r="AJ260" s="72"/>
      <c r="AK260" s="72"/>
      <c r="AL260" s="72"/>
      <c r="AM260" s="72"/>
      <c r="AN260" s="72"/>
      <c r="AO260" s="72"/>
      <c r="AP260" s="72"/>
      <c r="AQ260" s="72"/>
      <c r="AR260" s="72"/>
      <c r="AS260" s="72"/>
      <c r="AT260" s="72"/>
      <c r="AU260" s="72"/>
    </row>
    <row r="261" customFormat="false" ht="15.75" hidden="false" customHeight="false" outlineLevel="0" collapsed="false">
      <c r="A261" s="73"/>
      <c r="B261" s="72"/>
      <c r="C261" s="72"/>
      <c r="D261" s="72"/>
      <c r="E261" s="72"/>
      <c r="F261" s="75"/>
      <c r="G261" s="75"/>
      <c r="H261" s="75"/>
      <c r="I261" s="75"/>
      <c r="J261" s="75"/>
      <c r="K261" s="75"/>
      <c r="L261" s="75"/>
      <c r="M261" s="75"/>
      <c r="N261" s="75"/>
      <c r="O261" s="75"/>
      <c r="P261" s="75"/>
      <c r="Q261" s="75"/>
      <c r="R261" s="75"/>
      <c r="S261" s="75"/>
      <c r="T261" s="75"/>
      <c r="U261" s="75"/>
      <c r="V261" s="75"/>
      <c r="W261" s="75"/>
      <c r="X261" s="75"/>
      <c r="Y261" s="75"/>
      <c r="Z261" s="75"/>
      <c r="AA261" s="75"/>
      <c r="AB261" s="78"/>
      <c r="AC261" s="78"/>
      <c r="AD261" s="75"/>
      <c r="AE261" s="75"/>
      <c r="AF261" s="75"/>
      <c r="AG261" s="75"/>
      <c r="AH261" s="75"/>
      <c r="AI261" s="72"/>
      <c r="AJ261" s="72"/>
      <c r="AK261" s="72"/>
      <c r="AL261" s="72"/>
      <c r="AM261" s="72"/>
      <c r="AN261" s="72"/>
      <c r="AO261" s="72"/>
      <c r="AP261" s="72"/>
      <c r="AQ261" s="72"/>
      <c r="AR261" s="72"/>
      <c r="AS261" s="72"/>
      <c r="AT261" s="72"/>
      <c r="AU261" s="72"/>
    </row>
    <row r="262" customFormat="false" ht="15.75" hidden="false" customHeight="false" outlineLevel="0" collapsed="false">
      <c r="A262" s="73"/>
      <c r="B262" s="72"/>
      <c r="C262" s="72"/>
      <c r="D262" s="72"/>
      <c r="E262" s="72"/>
      <c r="F262" s="75"/>
      <c r="G262" s="75"/>
      <c r="H262" s="75"/>
      <c r="I262" s="75"/>
      <c r="J262" s="75"/>
      <c r="K262" s="75"/>
      <c r="L262" s="75"/>
      <c r="M262" s="75"/>
      <c r="N262" s="75"/>
      <c r="O262" s="75"/>
      <c r="P262" s="75"/>
      <c r="Q262" s="75"/>
      <c r="R262" s="75"/>
      <c r="S262" s="75"/>
      <c r="T262" s="75"/>
      <c r="U262" s="75"/>
      <c r="V262" s="75"/>
      <c r="W262" s="75"/>
      <c r="X262" s="75"/>
      <c r="Y262" s="75"/>
      <c r="Z262" s="75"/>
      <c r="AA262" s="75"/>
      <c r="AB262" s="78"/>
      <c r="AC262" s="78"/>
      <c r="AD262" s="75"/>
      <c r="AE262" s="75"/>
      <c r="AF262" s="75"/>
      <c r="AG262" s="75"/>
      <c r="AH262" s="75"/>
      <c r="AI262" s="72"/>
      <c r="AJ262" s="72"/>
      <c r="AK262" s="72"/>
      <c r="AL262" s="72"/>
      <c r="AM262" s="72"/>
      <c r="AN262" s="72"/>
      <c r="AO262" s="72"/>
      <c r="AP262" s="72"/>
      <c r="AQ262" s="72"/>
      <c r="AR262" s="72"/>
      <c r="AS262" s="72"/>
      <c r="AT262" s="72"/>
      <c r="AU262" s="72"/>
    </row>
    <row r="263" customFormat="false" ht="15.75" hidden="false" customHeight="false" outlineLevel="0" collapsed="false">
      <c r="A263" s="73"/>
      <c r="B263" s="72"/>
      <c r="C263" s="72"/>
      <c r="D263" s="72"/>
      <c r="E263" s="72"/>
      <c r="F263" s="75"/>
      <c r="G263" s="75"/>
      <c r="H263" s="75"/>
      <c r="I263" s="75"/>
      <c r="J263" s="75"/>
      <c r="K263" s="75"/>
      <c r="L263" s="75"/>
      <c r="M263" s="75"/>
      <c r="N263" s="75"/>
      <c r="O263" s="75"/>
      <c r="P263" s="75"/>
      <c r="Q263" s="75"/>
      <c r="R263" s="75"/>
      <c r="S263" s="75"/>
      <c r="T263" s="75"/>
      <c r="U263" s="75"/>
      <c r="V263" s="75"/>
      <c r="W263" s="75"/>
      <c r="X263" s="75"/>
      <c r="Y263" s="75"/>
      <c r="Z263" s="75"/>
      <c r="AA263" s="75"/>
      <c r="AB263" s="78"/>
      <c r="AC263" s="78"/>
      <c r="AD263" s="75"/>
      <c r="AE263" s="75"/>
      <c r="AF263" s="75"/>
      <c r="AG263" s="75"/>
      <c r="AH263" s="75"/>
      <c r="AI263" s="72"/>
      <c r="AJ263" s="72"/>
      <c r="AK263" s="72"/>
      <c r="AL263" s="72"/>
      <c r="AM263" s="72"/>
      <c r="AN263" s="72"/>
      <c r="AO263" s="72"/>
      <c r="AP263" s="72"/>
      <c r="AQ263" s="72"/>
      <c r="AR263" s="72"/>
      <c r="AS263" s="72"/>
      <c r="AT263" s="72"/>
      <c r="AU263" s="72"/>
    </row>
    <row r="264" customFormat="false" ht="15.75" hidden="false" customHeight="false" outlineLevel="0" collapsed="false">
      <c r="A264" s="73"/>
      <c r="B264" s="72"/>
      <c r="C264" s="72"/>
      <c r="D264" s="72"/>
      <c r="E264" s="72"/>
      <c r="F264" s="75"/>
      <c r="G264" s="75"/>
      <c r="H264" s="75"/>
      <c r="I264" s="75"/>
      <c r="J264" s="75"/>
      <c r="K264" s="75"/>
      <c r="L264" s="75"/>
      <c r="M264" s="75"/>
      <c r="N264" s="75"/>
      <c r="O264" s="75"/>
      <c r="P264" s="75"/>
      <c r="Q264" s="75"/>
      <c r="R264" s="75"/>
      <c r="S264" s="75"/>
      <c r="T264" s="75"/>
      <c r="U264" s="75"/>
      <c r="V264" s="75"/>
      <c r="W264" s="75"/>
      <c r="X264" s="75"/>
      <c r="Y264" s="75"/>
      <c r="Z264" s="75"/>
      <c r="AA264" s="75"/>
      <c r="AB264" s="78"/>
      <c r="AC264" s="78"/>
      <c r="AD264" s="75"/>
      <c r="AE264" s="75"/>
      <c r="AF264" s="75"/>
      <c r="AG264" s="75"/>
      <c r="AH264" s="75"/>
      <c r="AI264" s="72"/>
      <c r="AJ264" s="72"/>
      <c r="AK264" s="72"/>
      <c r="AL264" s="72"/>
      <c r="AM264" s="72"/>
      <c r="AN264" s="72"/>
      <c r="AO264" s="72"/>
      <c r="AP264" s="72"/>
      <c r="AQ264" s="72"/>
      <c r="AR264" s="72"/>
      <c r="AS264" s="72"/>
      <c r="AT264" s="72"/>
      <c r="AU264" s="72"/>
    </row>
    <row r="265" customFormat="false" ht="15.75" hidden="false" customHeight="false" outlineLevel="0" collapsed="false">
      <c r="A265" s="73"/>
      <c r="B265" s="72"/>
      <c r="C265" s="72"/>
      <c r="D265" s="72"/>
      <c r="E265" s="72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75"/>
      <c r="R265" s="75"/>
      <c r="S265" s="75"/>
      <c r="T265" s="75"/>
      <c r="U265" s="75"/>
      <c r="V265" s="75"/>
      <c r="W265" s="75"/>
      <c r="X265" s="75"/>
      <c r="Y265" s="75"/>
      <c r="Z265" s="75"/>
      <c r="AA265" s="75"/>
      <c r="AB265" s="78"/>
      <c r="AC265" s="78"/>
      <c r="AD265" s="75"/>
      <c r="AE265" s="75"/>
      <c r="AF265" s="75"/>
      <c r="AG265" s="75"/>
      <c r="AH265" s="75"/>
      <c r="AI265" s="72"/>
      <c r="AJ265" s="72"/>
      <c r="AK265" s="72"/>
      <c r="AL265" s="72"/>
      <c r="AM265" s="72"/>
      <c r="AN265" s="72"/>
      <c r="AO265" s="72"/>
      <c r="AP265" s="72"/>
      <c r="AQ265" s="72"/>
      <c r="AR265" s="72"/>
      <c r="AS265" s="72"/>
      <c r="AT265" s="72"/>
      <c r="AU265" s="72"/>
    </row>
    <row r="266" customFormat="false" ht="15.75" hidden="false" customHeight="false" outlineLevel="0" collapsed="false">
      <c r="A266" s="73"/>
      <c r="B266" s="72"/>
      <c r="C266" s="72"/>
      <c r="D266" s="72"/>
      <c r="E266" s="72"/>
      <c r="F266" s="75"/>
      <c r="G266" s="75"/>
      <c r="H266" s="75"/>
      <c r="I266" s="75"/>
      <c r="J266" s="75"/>
      <c r="K266" s="75"/>
      <c r="L266" s="75"/>
      <c r="M266" s="75"/>
      <c r="N266" s="75"/>
      <c r="O266" s="75"/>
      <c r="P266" s="75"/>
      <c r="Q266" s="75"/>
      <c r="R266" s="75"/>
      <c r="S266" s="75"/>
      <c r="T266" s="75"/>
      <c r="U266" s="75"/>
      <c r="V266" s="75"/>
      <c r="W266" s="75"/>
      <c r="X266" s="75"/>
      <c r="Y266" s="75"/>
      <c r="Z266" s="75"/>
      <c r="AA266" s="75"/>
      <c r="AB266" s="78"/>
      <c r="AC266" s="78"/>
      <c r="AD266" s="75"/>
      <c r="AE266" s="75"/>
      <c r="AF266" s="75"/>
      <c r="AG266" s="75"/>
      <c r="AH266" s="75"/>
      <c r="AI266" s="72"/>
      <c r="AJ266" s="72"/>
      <c r="AK266" s="72"/>
      <c r="AL266" s="72"/>
      <c r="AM266" s="72"/>
      <c r="AN266" s="72"/>
      <c r="AO266" s="72"/>
      <c r="AP266" s="72"/>
      <c r="AQ266" s="72"/>
      <c r="AR266" s="72"/>
      <c r="AS266" s="72"/>
      <c r="AT266" s="72"/>
      <c r="AU266" s="72"/>
    </row>
    <row r="267" customFormat="false" ht="15.75" hidden="false" customHeight="false" outlineLevel="0" collapsed="false">
      <c r="A267" s="73"/>
      <c r="B267" s="72"/>
      <c r="C267" s="72"/>
      <c r="D267" s="72"/>
      <c r="E267" s="72"/>
      <c r="F267" s="75"/>
      <c r="G267" s="75"/>
      <c r="H267" s="75"/>
      <c r="I267" s="75"/>
      <c r="J267" s="75"/>
      <c r="K267" s="75"/>
      <c r="L267" s="75"/>
      <c r="M267" s="75"/>
      <c r="N267" s="75"/>
      <c r="O267" s="75"/>
      <c r="P267" s="75"/>
      <c r="Q267" s="75"/>
      <c r="R267" s="75"/>
      <c r="S267" s="75"/>
      <c r="T267" s="75"/>
      <c r="U267" s="75"/>
      <c r="V267" s="75"/>
      <c r="W267" s="75"/>
      <c r="X267" s="75"/>
      <c r="Y267" s="75"/>
      <c r="Z267" s="75"/>
      <c r="AA267" s="75"/>
      <c r="AB267" s="78"/>
      <c r="AC267" s="78"/>
      <c r="AD267" s="75"/>
      <c r="AE267" s="75"/>
      <c r="AF267" s="75"/>
      <c r="AG267" s="75"/>
      <c r="AH267" s="75"/>
      <c r="AI267" s="72"/>
      <c r="AJ267" s="72"/>
      <c r="AK267" s="72"/>
      <c r="AL267" s="72"/>
      <c r="AM267" s="72"/>
      <c r="AN267" s="72"/>
      <c r="AO267" s="72"/>
      <c r="AP267" s="72"/>
      <c r="AQ267" s="72"/>
      <c r="AR267" s="72"/>
      <c r="AS267" s="72"/>
      <c r="AT267" s="72"/>
      <c r="AU267" s="72"/>
    </row>
    <row r="268" customFormat="false" ht="15.75" hidden="false" customHeight="false" outlineLevel="0" collapsed="false">
      <c r="A268" s="73"/>
      <c r="B268" s="72"/>
      <c r="C268" s="72"/>
      <c r="D268" s="72"/>
      <c r="E268" s="72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75"/>
      <c r="Q268" s="75"/>
      <c r="R268" s="75"/>
      <c r="S268" s="75"/>
      <c r="T268" s="75"/>
      <c r="U268" s="75"/>
      <c r="V268" s="75"/>
      <c r="W268" s="75"/>
      <c r="X268" s="75"/>
      <c r="Y268" s="75"/>
      <c r="Z268" s="75"/>
      <c r="AA268" s="75"/>
      <c r="AB268" s="78"/>
      <c r="AC268" s="78"/>
      <c r="AD268" s="75"/>
      <c r="AE268" s="75"/>
      <c r="AF268" s="75"/>
      <c r="AG268" s="75"/>
      <c r="AH268" s="75"/>
      <c r="AI268" s="72"/>
      <c r="AJ268" s="72"/>
      <c r="AK268" s="72"/>
      <c r="AL268" s="72"/>
      <c r="AM268" s="72"/>
      <c r="AN268" s="72"/>
      <c r="AO268" s="72"/>
      <c r="AP268" s="72"/>
      <c r="AQ268" s="72"/>
      <c r="AR268" s="72"/>
      <c r="AS268" s="72"/>
      <c r="AT268" s="72"/>
      <c r="AU268" s="72"/>
    </row>
    <row r="269" customFormat="false" ht="15.75" hidden="false" customHeight="false" outlineLevel="0" collapsed="false">
      <c r="A269" s="73"/>
      <c r="B269" s="72"/>
      <c r="C269" s="72"/>
      <c r="D269" s="72"/>
      <c r="E269" s="72"/>
      <c r="F269" s="75"/>
      <c r="G269" s="75"/>
      <c r="H269" s="75"/>
      <c r="I269" s="75"/>
      <c r="J269" s="75"/>
      <c r="K269" s="75"/>
      <c r="L269" s="75"/>
      <c r="M269" s="75"/>
      <c r="N269" s="75"/>
      <c r="O269" s="75"/>
      <c r="P269" s="75"/>
      <c r="Q269" s="75"/>
      <c r="R269" s="75"/>
      <c r="S269" s="75"/>
      <c r="T269" s="75"/>
      <c r="U269" s="75"/>
      <c r="V269" s="75"/>
      <c r="W269" s="75"/>
      <c r="X269" s="75"/>
      <c r="Y269" s="75"/>
      <c r="Z269" s="75"/>
      <c r="AA269" s="75"/>
      <c r="AB269" s="78"/>
      <c r="AC269" s="78"/>
      <c r="AD269" s="75"/>
      <c r="AE269" s="75"/>
      <c r="AF269" s="75"/>
      <c r="AG269" s="75"/>
      <c r="AH269" s="75"/>
      <c r="AI269" s="72"/>
      <c r="AJ269" s="72"/>
      <c r="AK269" s="72"/>
      <c r="AL269" s="72"/>
      <c r="AM269" s="72"/>
      <c r="AN269" s="72"/>
      <c r="AO269" s="72"/>
      <c r="AP269" s="72"/>
      <c r="AQ269" s="72"/>
      <c r="AR269" s="72"/>
      <c r="AS269" s="72"/>
      <c r="AT269" s="72"/>
      <c r="AU269" s="72"/>
    </row>
    <row r="270" customFormat="false" ht="15.75" hidden="false" customHeight="false" outlineLevel="0" collapsed="false">
      <c r="A270" s="73"/>
      <c r="B270" s="72"/>
      <c r="C270" s="72"/>
      <c r="D270" s="72"/>
      <c r="E270" s="72"/>
      <c r="F270" s="75"/>
      <c r="G270" s="75"/>
      <c r="H270" s="75"/>
      <c r="I270" s="75"/>
      <c r="J270" s="75"/>
      <c r="K270" s="75"/>
      <c r="L270" s="75"/>
      <c r="M270" s="75"/>
      <c r="N270" s="75"/>
      <c r="O270" s="75"/>
      <c r="P270" s="75"/>
      <c r="Q270" s="75"/>
      <c r="R270" s="75"/>
      <c r="S270" s="75"/>
      <c r="T270" s="75"/>
      <c r="U270" s="75"/>
      <c r="V270" s="75"/>
      <c r="W270" s="75"/>
      <c r="X270" s="75"/>
      <c r="Y270" s="75"/>
      <c r="Z270" s="75"/>
      <c r="AA270" s="75"/>
      <c r="AB270" s="78"/>
      <c r="AC270" s="78"/>
      <c r="AD270" s="75"/>
      <c r="AE270" s="75"/>
      <c r="AF270" s="75"/>
      <c r="AG270" s="75"/>
      <c r="AH270" s="75"/>
      <c r="AI270" s="72"/>
      <c r="AJ270" s="72"/>
      <c r="AK270" s="72"/>
      <c r="AL270" s="72"/>
      <c r="AM270" s="72"/>
      <c r="AN270" s="72"/>
      <c r="AO270" s="72"/>
      <c r="AP270" s="72"/>
      <c r="AQ270" s="72"/>
      <c r="AR270" s="72"/>
      <c r="AS270" s="72"/>
      <c r="AT270" s="72"/>
      <c r="AU270" s="72"/>
    </row>
    <row r="271" customFormat="false" ht="15.75" hidden="false" customHeight="false" outlineLevel="0" collapsed="false">
      <c r="A271" s="73"/>
      <c r="B271" s="72"/>
      <c r="C271" s="72"/>
      <c r="D271" s="72"/>
      <c r="E271" s="72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  <c r="Q271" s="75"/>
      <c r="R271" s="75"/>
      <c r="S271" s="75"/>
      <c r="T271" s="75"/>
      <c r="U271" s="75"/>
      <c r="V271" s="75"/>
      <c r="W271" s="75"/>
      <c r="X271" s="75"/>
      <c r="Y271" s="75"/>
      <c r="Z271" s="75"/>
      <c r="AA271" s="75"/>
      <c r="AB271" s="78"/>
      <c r="AC271" s="78"/>
      <c r="AD271" s="75"/>
      <c r="AE271" s="75"/>
      <c r="AF271" s="75"/>
      <c r="AG271" s="75"/>
      <c r="AH271" s="75"/>
      <c r="AI271" s="72"/>
      <c r="AJ271" s="72"/>
      <c r="AK271" s="72"/>
      <c r="AL271" s="72"/>
      <c r="AM271" s="72"/>
      <c r="AN271" s="72"/>
      <c r="AO271" s="72"/>
      <c r="AP271" s="72"/>
      <c r="AQ271" s="72"/>
      <c r="AR271" s="72"/>
      <c r="AS271" s="72"/>
      <c r="AT271" s="72"/>
      <c r="AU271" s="72"/>
    </row>
    <row r="272" customFormat="false" ht="15.75" hidden="false" customHeight="false" outlineLevel="0" collapsed="false">
      <c r="A272" s="73"/>
      <c r="B272" s="72"/>
      <c r="C272" s="72"/>
      <c r="D272" s="72"/>
      <c r="E272" s="72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  <c r="R272" s="75"/>
      <c r="S272" s="75"/>
      <c r="T272" s="75"/>
      <c r="U272" s="75"/>
      <c r="V272" s="75"/>
      <c r="W272" s="75"/>
      <c r="X272" s="75"/>
      <c r="Y272" s="75"/>
      <c r="Z272" s="75"/>
      <c r="AA272" s="75"/>
      <c r="AB272" s="78"/>
      <c r="AC272" s="78"/>
      <c r="AD272" s="75"/>
      <c r="AE272" s="75"/>
      <c r="AF272" s="75"/>
      <c r="AG272" s="75"/>
      <c r="AH272" s="75"/>
      <c r="AI272" s="72"/>
      <c r="AJ272" s="72"/>
      <c r="AK272" s="72"/>
      <c r="AL272" s="72"/>
      <c r="AM272" s="72"/>
      <c r="AN272" s="72"/>
      <c r="AO272" s="72"/>
      <c r="AP272" s="72"/>
      <c r="AQ272" s="72"/>
      <c r="AR272" s="72"/>
      <c r="AS272" s="72"/>
      <c r="AT272" s="72"/>
      <c r="AU272" s="72"/>
    </row>
    <row r="273" customFormat="false" ht="15.75" hidden="false" customHeight="false" outlineLevel="0" collapsed="false">
      <c r="A273" s="73"/>
      <c r="B273" s="72"/>
      <c r="C273" s="72"/>
      <c r="D273" s="72"/>
      <c r="E273" s="72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  <c r="T273" s="75"/>
      <c r="U273" s="75"/>
      <c r="V273" s="75"/>
      <c r="W273" s="75"/>
      <c r="X273" s="75"/>
      <c r="Y273" s="75"/>
      <c r="Z273" s="75"/>
      <c r="AA273" s="75"/>
      <c r="AB273" s="78"/>
      <c r="AC273" s="78"/>
      <c r="AD273" s="75"/>
      <c r="AE273" s="75"/>
      <c r="AF273" s="75"/>
      <c r="AG273" s="75"/>
      <c r="AH273" s="75"/>
      <c r="AI273" s="72"/>
      <c r="AJ273" s="72"/>
      <c r="AK273" s="72"/>
      <c r="AL273" s="72"/>
      <c r="AM273" s="72"/>
      <c r="AN273" s="72"/>
      <c r="AO273" s="72"/>
      <c r="AP273" s="72"/>
      <c r="AQ273" s="72"/>
      <c r="AR273" s="72"/>
      <c r="AS273" s="72"/>
      <c r="AT273" s="72"/>
      <c r="AU273" s="72"/>
    </row>
    <row r="274" customFormat="false" ht="15.75" hidden="false" customHeight="false" outlineLevel="0" collapsed="false">
      <c r="A274" s="73"/>
      <c r="B274" s="72"/>
      <c r="C274" s="72"/>
      <c r="D274" s="72"/>
      <c r="E274" s="72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  <c r="R274" s="75"/>
      <c r="S274" s="75"/>
      <c r="T274" s="75"/>
      <c r="U274" s="75"/>
      <c r="V274" s="75"/>
      <c r="W274" s="75"/>
      <c r="X274" s="75"/>
      <c r="Y274" s="75"/>
      <c r="Z274" s="75"/>
      <c r="AA274" s="75"/>
      <c r="AB274" s="78"/>
      <c r="AC274" s="78"/>
      <c r="AD274" s="75"/>
      <c r="AE274" s="75"/>
      <c r="AF274" s="75"/>
      <c r="AG274" s="75"/>
      <c r="AH274" s="75"/>
      <c r="AI274" s="72"/>
      <c r="AJ274" s="72"/>
      <c r="AK274" s="72"/>
      <c r="AL274" s="72"/>
      <c r="AM274" s="72"/>
      <c r="AN274" s="72"/>
      <c r="AO274" s="72"/>
      <c r="AP274" s="72"/>
      <c r="AQ274" s="72"/>
      <c r="AR274" s="72"/>
      <c r="AS274" s="72"/>
      <c r="AT274" s="72"/>
      <c r="AU274" s="72"/>
    </row>
    <row r="275" customFormat="false" ht="15.75" hidden="false" customHeight="false" outlineLevel="0" collapsed="false">
      <c r="A275" s="73"/>
      <c r="B275" s="72"/>
      <c r="C275" s="72"/>
      <c r="D275" s="72"/>
      <c r="E275" s="72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75"/>
      <c r="R275" s="75"/>
      <c r="S275" s="75"/>
      <c r="T275" s="75"/>
      <c r="U275" s="75"/>
      <c r="V275" s="75"/>
      <c r="W275" s="75"/>
      <c r="X275" s="75"/>
      <c r="Y275" s="75"/>
      <c r="Z275" s="75"/>
      <c r="AA275" s="75"/>
      <c r="AB275" s="78"/>
      <c r="AC275" s="78"/>
      <c r="AD275" s="75"/>
      <c r="AE275" s="75"/>
      <c r="AF275" s="75"/>
      <c r="AG275" s="75"/>
      <c r="AH275" s="75"/>
      <c r="AI275" s="72"/>
      <c r="AJ275" s="72"/>
      <c r="AK275" s="72"/>
      <c r="AL275" s="72"/>
      <c r="AM275" s="72"/>
      <c r="AN275" s="72"/>
      <c r="AO275" s="72"/>
      <c r="AP275" s="72"/>
      <c r="AQ275" s="72"/>
      <c r="AR275" s="72"/>
      <c r="AS275" s="72"/>
      <c r="AT275" s="72"/>
      <c r="AU275" s="72"/>
    </row>
    <row r="276" customFormat="false" ht="15.75" hidden="false" customHeight="false" outlineLevel="0" collapsed="false">
      <c r="A276" s="73"/>
      <c r="B276" s="72"/>
      <c r="C276" s="72"/>
      <c r="D276" s="72"/>
      <c r="E276" s="72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  <c r="Q276" s="75"/>
      <c r="R276" s="75"/>
      <c r="S276" s="75"/>
      <c r="T276" s="75"/>
      <c r="U276" s="75"/>
      <c r="V276" s="75"/>
      <c r="W276" s="75"/>
      <c r="X276" s="75"/>
      <c r="Y276" s="75"/>
      <c r="Z276" s="75"/>
      <c r="AA276" s="75"/>
      <c r="AB276" s="78"/>
      <c r="AC276" s="78"/>
      <c r="AD276" s="75"/>
      <c r="AE276" s="75"/>
      <c r="AF276" s="75"/>
      <c r="AG276" s="75"/>
      <c r="AH276" s="75"/>
      <c r="AI276" s="72"/>
      <c r="AJ276" s="72"/>
      <c r="AK276" s="72"/>
      <c r="AL276" s="72"/>
      <c r="AM276" s="72"/>
      <c r="AN276" s="72"/>
      <c r="AO276" s="72"/>
      <c r="AP276" s="72"/>
      <c r="AQ276" s="72"/>
      <c r="AR276" s="72"/>
      <c r="AS276" s="72"/>
      <c r="AT276" s="72"/>
      <c r="AU276" s="72"/>
    </row>
    <row r="277" customFormat="false" ht="15.75" hidden="false" customHeight="false" outlineLevel="0" collapsed="false">
      <c r="A277" s="73"/>
      <c r="B277" s="72"/>
      <c r="C277" s="72"/>
      <c r="D277" s="72"/>
      <c r="E277" s="72"/>
      <c r="F277" s="75"/>
      <c r="G277" s="75"/>
      <c r="H277" s="75"/>
      <c r="I277" s="75"/>
      <c r="J277" s="75"/>
      <c r="K277" s="75"/>
      <c r="L277" s="75"/>
      <c r="M277" s="75"/>
      <c r="N277" s="75"/>
      <c r="O277" s="75"/>
      <c r="P277" s="75"/>
      <c r="Q277" s="75"/>
      <c r="R277" s="75"/>
      <c r="S277" s="75"/>
      <c r="T277" s="75"/>
      <c r="U277" s="75"/>
      <c r="V277" s="75"/>
      <c r="W277" s="75"/>
      <c r="X277" s="75"/>
      <c r="Y277" s="75"/>
      <c r="Z277" s="75"/>
      <c r="AA277" s="75"/>
      <c r="AB277" s="78"/>
      <c r="AC277" s="78"/>
      <c r="AD277" s="75"/>
      <c r="AE277" s="75"/>
      <c r="AF277" s="75"/>
      <c r="AG277" s="75"/>
      <c r="AH277" s="75"/>
      <c r="AI277" s="72"/>
      <c r="AJ277" s="72"/>
      <c r="AK277" s="72"/>
      <c r="AL277" s="72"/>
      <c r="AM277" s="72"/>
      <c r="AN277" s="72"/>
      <c r="AO277" s="72"/>
      <c r="AP277" s="72"/>
      <c r="AQ277" s="72"/>
      <c r="AR277" s="72"/>
      <c r="AS277" s="72"/>
      <c r="AT277" s="72"/>
      <c r="AU277" s="72"/>
    </row>
    <row r="278" customFormat="false" ht="15.75" hidden="false" customHeight="false" outlineLevel="0" collapsed="false">
      <c r="A278" s="73"/>
      <c r="B278" s="72"/>
      <c r="C278" s="72"/>
      <c r="D278" s="72"/>
      <c r="E278" s="72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  <c r="Q278" s="75"/>
      <c r="R278" s="75"/>
      <c r="S278" s="75"/>
      <c r="T278" s="75"/>
      <c r="U278" s="75"/>
      <c r="V278" s="75"/>
      <c r="W278" s="75"/>
      <c r="X278" s="75"/>
      <c r="Y278" s="75"/>
      <c r="Z278" s="75"/>
      <c r="AA278" s="75"/>
      <c r="AB278" s="78"/>
      <c r="AC278" s="78"/>
      <c r="AD278" s="75"/>
      <c r="AE278" s="75"/>
      <c r="AF278" s="75"/>
      <c r="AG278" s="75"/>
      <c r="AH278" s="75"/>
      <c r="AI278" s="72"/>
      <c r="AJ278" s="72"/>
      <c r="AK278" s="72"/>
      <c r="AL278" s="72"/>
      <c r="AM278" s="72"/>
      <c r="AN278" s="72"/>
      <c r="AO278" s="72"/>
      <c r="AP278" s="72"/>
      <c r="AQ278" s="72"/>
      <c r="AR278" s="72"/>
      <c r="AS278" s="72"/>
      <c r="AT278" s="72"/>
      <c r="AU278" s="72"/>
    </row>
    <row r="279" customFormat="false" ht="15.75" hidden="false" customHeight="false" outlineLevel="0" collapsed="false">
      <c r="A279" s="73"/>
      <c r="B279" s="72"/>
      <c r="C279" s="72"/>
      <c r="D279" s="72"/>
      <c r="E279" s="72"/>
      <c r="F279" s="75"/>
      <c r="G279" s="75"/>
      <c r="H279" s="75"/>
      <c r="I279" s="75"/>
      <c r="J279" s="75"/>
      <c r="K279" s="75"/>
      <c r="L279" s="75"/>
      <c r="M279" s="75"/>
      <c r="N279" s="75"/>
      <c r="O279" s="75"/>
      <c r="P279" s="75"/>
      <c r="Q279" s="75"/>
      <c r="R279" s="75"/>
      <c r="S279" s="75"/>
      <c r="T279" s="75"/>
      <c r="U279" s="75"/>
      <c r="V279" s="75"/>
      <c r="W279" s="75"/>
      <c r="X279" s="75"/>
      <c r="Y279" s="75"/>
      <c r="Z279" s="75"/>
      <c r="AA279" s="75"/>
      <c r="AB279" s="78"/>
      <c r="AC279" s="78"/>
      <c r="AD279" s="75"/>
      <c r="AE279" s="75"/>
      <c r="AF279" s="75"/>
      <c r="AG279" s="75"/>
      <c r="AH279" s="75"/>
      <c r="AI279" s="72"/>
      <c r="AJ279" s="72"/>
      <c r="AK279" s="72"/>
      <c r="AL279" s="72"/>
      <c r="AM279" s="72"/>
      <c r="AN279" s="72"/>
      <c r="AO279" s="72"/>
      <c r="AP279" s="72"/>
      <c r="AQ279" s="72"/>
      <c r="AR279" s="72"/>
      <c r="AS279" s="72"/>
      <c r="AT279" s="72"/>
      <c r="AU279" s="72"/>
    </row>
    <row r="280" customFormat="false" ht="15.75" hidden="false" customHeight="false" outlineLevel="0" collapsed="false">
      <c r="A280" s="73"/>
      <c r="B280" s="72"/>
      <c r="C280" s="72"/>
      <c r="D280" s="72"/>
      <c r="E280" s="72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  <c r="R280" s="75"/>
      <c r="S280" s="75"/>
      <c r="T280" s="75"/>
      <c r="U280" s="75"/>
      <c r="V280" s="75"/>
      <c r="W280" s="75"/>
      <c r="X280" s="75"/>
      <c r="Y280" s="75"/>
      <c r="Z280" s="75"/>
      <c r="AA280" s="75"/>
      <c r="AB280" s="78"/>
      <c r="AC280" s="78"/>
      <c r="AD280" s="75"/>
      <c r="AE280" s="75"/>
      <c r="AF280" s="75"/>
      <c r="AG280" s="75"/>
      <c r="AH280" s="75"/>
      <c r="AI280" s="72"/>
      <c r="AJ280" s="72"/>
      <c r="AK280" s="72"/>
      <c r="AL280" s="72"/>
      <c r="AM280" s="72"/>
      <c r="AN280" s="72"/>
      <c r="AO280" s="72"/>
      <c r="AP280" s="72"/>
      <c r="AQ280" s="72"/>
      <c r="AR280" s="72"/>
      <c r="AS280" s="72"/>
      <c r="AT280" s="72"/>
      <c r="AU280" s="72"/>
    </row>
    <row r="281" customFormat="false" ht="15.75" hidden="false" customHeight="false" outlineLevel="0" collapsed="false">
      <c r="A281" s="73"/>
      <c r="B281" s="72"/>
      <c r="C281" s="72"/>
      <c r="D281" s="72"/>
      <c r="E281" s="72"/>
      <c r="F281" s="75"/>
      <c r="G281" s="75"/>
      <c r="H281" s="75"/>
      <c r="I281" s="75"/>
      <c r="J281" s="75"/>
      <c r="K281" s="75"/>
      <c r="L281" s="75"/>
      <c r="M281" s="75"/>
      <c r="N281" s="75"/>
      <c r="O281" s="75"/>
      <c r="P281" s="75"/>
      <c r="Q281" s="75"/>
      <c r="R281" s="75"/>
      <c r="S281" s="75"/>
      <c r="T281" s="75"/>
      <c r="U281" s="75"/>
      <c r="V281" s="75"/>
      <c r="W281" s="75"/>
      <c r="X281" s="75"/>
      <c r="Y281" s="75"/>
      <c r="Z281" s="75"/>
      <c r="AA281" s="75"/>
      <c r="AB281" s="78"/>
      <c r="AC281" s="78"/>
      <c r="AD281" s="75"/>
      <c r="AE281" s="75"/>
      <c r="AF281" s="75"/>
      <c r="AG281" s="75"/>
      <c r="AH281" s="75"/>
      <c r="AI281" s="72"/>
      <c r="AJ281" s="72"/>
      <c r="AK281" s="72"/>
      <c r="AL281" s="72"/>
      <c r="AM281" s="72"/>
      <c r="AN281" s="72"/>
      <c r="AO281" s="72"/>
      <c r="AP281" s="72"/>
      <c r="AQ281" s="72"/>
      <c r="AR281" s="72"/>
      <c r="AS281" s="72"/>
      <c r="AT281" s="72"/>
      <c r="AU281" s="72"/>
    </row>
    <row r="282" customFormat="false" ht="15.75" hidden="false" customHeight="false" outlineLevel="0" collapsed="false">
      <c r="A282" s="73"/>
      <c r="B282" s="72"/>
      <c r="C282" s="72"/>
      <c r="D282" s="72"/>
      <c r="E282" s="72"/>
      <c r="F282" s="75"/>
      <c r="G282" s="75"/>
      <c r="H282" s="75"/>
      <c r="I282" s="75"/>
      <c r="J282" s="75"/>
      <c r="K282" s="75"/>
      <c r="L282" s="75"/>
      <c r="M282" s="75"/>
      <c r="N282" s="75"/>
      <c r="O282" s="75"/>
      <c r="P282" s="75"/>
      <c r="Q282" s="75"/>
      <c r="R282" s="75"/>
      <c r="S282" s="75"/>
      <c r="T282" s="75"/>
      <c r="U282" s="75"/>
      <c r="V282" s="75"/>
      <c r="W282" s="75"/>
      <c r="X282" s="75"/>
      <c r="Y282" s="75"/>
      <c r="Z282" s="75"/>
      <c r="AA282" s="75"/>
      <c r="AB282" s="78"/>
      <c r="AC282" s="78"/>
      <c r="AD282" s="75"/>
      <c r="AE282" s="75"/>
      <c r="AF282" s="75"/>
      <c r="AG282" s="75"/>
      <c r="AH282" s="75"/>
      <c r="AI282" s="72"/>
      <c r="AJ282" s="72"/>
      <c r="AK282" s="72"/>
      <c r="AL282" s="72"/>
      <c r="AM282" s="72"/>
      <c r="AN282" s="72"/>
      <c r="AO282" s="72"/>
      <c r="AP282" s="72"/>
      <c r="AQ282" s="72"/>
      <c r="AR282" s="72"/>
      <c r="AS282" s="72"/>
      <c r="AT282" s="72"/>
      <c r="AU282" s="72"/>
    </row>
    <row r="283" customFormat="false" ht="15.75" hidden="false" customHeight="false" outlineLevel="0" collapsed="false">
      <c r="A283" s="73"/>
      <c r="B283" s="72"/>
      <c r="C283" s="72"/>
      <c r="D283" s="72"/>
      <c r="E283" s="72"/>
      <c r="F283" s="75"/>
      <c r="G283" s="75"/>
      <c r="H283" s="75"/>
      <c r="I283" s="75"/>
      <c r="J283" s="75"/>
      <c r="K283" s="75"/>
      <c r="L283" s="75"/>
      <c r="M283" s="75"/>
      <c r="N283" s="75"/>
      <c r="O283" s="75"/>
      <c r="P283" s="75"/>
      <c r="Q283" s="75"/>
      <c r="R283" s="75"/>
      <c r="S283" s="75"/>
      <c r="T283" s="75"/>
      <c r="U283" s="75"/>
      <c r="V283" s="75"/>
      <c r="W283" s="75"/>
      <c r="X283" s="75"/>
      <c r="Y283" s="75"/>
      <c r="Z283" s="75"/>
      <c r="AA283" s="75"/>
      <c r="AB283" s="78"/>
      <c r="AC283" s="78"/>
      <c r="AD283" s="75"/>
      <c r="AE283" s="75"/>
      <c r="AF283" s="75"/>
      <c r="AG283" s="75"/>
      <c r="AH283" s="75"/>
      <c r="AI283" s="72"/>
      <c r="AJ283" s="72"/>
      <c r="AK283" s="72"/>
      <c r="AL283" s="72"/>
      <c r="AM283" s="72"/>
      <c r="AN283" s="72"/>
      <c r="AO283" s="72"/>
      <c r="AP283" s="72"/>
      <c r="AQ283" s="72"/>
      <c r="AR283" s="72"/>
      <c r="AS283" s="72"/>
      <c r="AT283" s="72"/>
      <c r="AU283" s="72"/>
    </row>
    <row r="284" customFormat="false" ht="15.75" hidden="false" customHeight="false" outlineLevel="0" collapsed="false">
      <c r="A284" s="73"/>
      <c r="B284" s="72"/>
      <c r="C284" s="72"/>
      <c r="D284" s="72"/>
      <c r="E284" s="72"/>
      <c r="F284" s="75"/>
      <c r="G284" s="75"/>
      <c r="H284" s="75"/>
      <c r="I284" s="75"/>
      <c r="J284" s="75"/>
      <c r="K284" s="75"/>
      <c r="L284" s="75"/>
      <c r="M284" s="75"/>
      <c r="N284" s="75"/>
      <c r="O284" s="75"/>
      <c r="P284" s="75"/>
      <c r="Q284" s="75"/>
      <c r="R284" s="75"/>
      <c r="S284" s="75"/>
      <c r="T284" s="75"/>
      <c r="U284" s="75"/>
      <c r="V284" s="75"/>
      <c r="W284" s="75"/>
      <c r="X284" s="75"/>
      <c r="Y284" s="75"/>
      <c r="Z284" s="75"/>
      <c r="AA284" s="75"/>
      <c r="AB284" s="78"/>
      <c r="AC284" s="78"/>
      <c r="AD284" s="75"/>
      <c r="AE284" s="75"/>
      <c r="AF284" s="75"/>
      <c r="AG284" s="75"/>
      <c r="AH284" s="75"/>
      <c r="AI284" s="72"/>
      <c r="AJ284" s="72"/>
      <c r="AK284" s="72"/>
      <c r="AL284" s="72"/>
      <c r="AM284" s="72"/>
      <c r="AN284" s="72"/>
      <c r="AO284" s="72"/>
      <c r="AP284" s="72"/>
      <c r="AQ284" s="72"/>
      <c r="AR284" s="72"/>
      <c r="AS284" s="72"/>
      <c r="AT284" s="72"/>
      <c r="AU284" s="72"/>
    </row>
    <row r="285" customFormat="false" ht="15.75" hidden="false" customHeight="false" outlineLevel="0" collapsed="false">
      <c r="A285" s="73"/>
      <c r="B285" s="72"/>
      <c r="C285" s="72"/>
      <c r="D285" s="72"/>
      <c r="E285" s="72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  <c r="Q285" s="75"/>
      <c r="R285" s="75"/>
      <c r="S285" s="75"/>
      <c r="T285" s="75"/>
      <c r="U285" s="75"/>
      <c r="V285" s="75"/>
      <c r="W285" s="75"/>
      <c r="X285" s="75"/>
      <c r="Y285" s="75"/>
      <c r="Z285" s="75"/>
      <c r="AA285" s="75"/>
      <c r="AB285" s="78"/>
      <c r="AC285" s="78"/>
      <c r="AD285" s="75"/>
      <c r="AE285" s="75"/>
      <c r="AF285" s="75"/>
      <c r="AG285" s="75"/>
      <c r="AH285" s="75"/>
      <c r="AI285" s="72"/>
      <c r="AJ285" s="72"/>
      <c r="AK285" s="72"/>
      <c r="AL285" s="72"/>
      <c r="AM285" s="72"/>
      <c r="AN285" s="72"/>
      <c r="AO285" s="72"/>
      <c r="AP285" s="72"/>
      <c r="AQ285" s="72"/>
      <c r="AR285" s="72"/>
      <c r="AS285" s="72"/>
      <c r="AT285" s="72"/>
      <c r="AU285" s="72"/>
    </row>
    <row r="286" customFormat="false" ht="15.75" hidden="false" customHeight="false" outlineLevel="0" collapsed="false">
      <c r="A286" s="73"/>
      <c r="B286" s="72"/>
      <c r="C286" s="72"/>
      <c r="D286" s="72"/>
      <c r="E286" s="72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  <c r="Q286" s="75"/>
      <c r="R286" s="75"/>
      <c r="S286" s="75"/>
      <c r="T286" s="75"/>
      <c r="U286" s="75"/>
      <c r="V286" s="75"/>
      <c r="W286" s="75"/>
      <c r="X286" s="75"/>
      <c r="Y286" s="75"/>
      <c r="Z286" s="75"/>
      <c r="AA286" s="75"/>
      <c r="AB286" s="78"/>
      <c r="AC286" s="78"/>
      <c r="AD286" s="75"/>
      <c r="AE286" s="75"/>
      <c r="AF286" s="75"/>
      <c r="AG286" s="75"/>
      <c r="AH286" s="75"/>
      <c r="AI286" s="72"/>
      <c r="AJ286" s="72"/>
      <c r="AK286" s="72"/>
      <c r="AL286" s="72"/>
      <c r="AM286" s="72"/>
      <c r="AN286" s="72"/>
      <c r="AO286" s="72"/>
      <c r="AP286" s="72"/>
      <c r="AQ286" s="72"/>
      <c r="AR286" s="72"/>
      <c r="AS286" s="72"/>
      <c r="AT286" s="72"/>
      <c r="AU286" s="72"/>
    </row>
    <row r="287" customFormat="false" ht="15.75" hidden="false" customHeight="false" outlineLevel="0" collapsed="false">
      <c r="A287" s="73"/>
      <c r="B287" s="72"/>
      <c r="C287" s="72"/>
      <c r="D287" s="72"/>
      <c r="E287" s="72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  <c r="R287" s="75"/>
      <c r="S287" s="75"/>
      <c r="T287" s="75"/>
      <c r="U287" s="75"/>
      <c r="V287" s="75"/>
      <c r="W287" s="75"/>
      <c r="X287" s="75"/>
      <c r="Y287" s="75"/>
      <c r="Z287" s="75"/>
      <c r="AA287" s="75"/>
      <c r="AB287" s="78"/>
      <c r="AC287" s="78"/>
      <c r="AD287" s="75"/>
      <c r="AE287" s="75"/>
      <c r="AF287" s="75"/>
      <c r="AG287" s="75"/>
      <c r="AH287" s="75"/>
      <c r="AI287" s="72"/>
      <c r="AJ287" s="72"/>
      <c r="AK287" s="72"/>
      <c r="AL287" s="72"/>
      <c r="AM287" s="72"/>
      <c r="AN287" s="72"/>
      <c r="AO287" s="72"/>
      <c r="AP287" s="72"/>
      <c r="AQ287" s="72"/>
      <c r="AR287" s="72"/>
      <c r="AS287" s="72"/>
      <c r="AT287" s="72"/>
      <c r="AU287" s="72"/>
    </row>
    <row r="288" customFormat="false" ht="15.75" hidden="false" customHeight="false" outlineLevel="0" collapsed="false">
      <c r="A288" s="73"/>
      <c r="B288" s="72"/>
      <c r="C288" s="72"/>
      <c r="D288" s="72"/>
      <c r="E288" s="72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  <c r="Q288" s="75"/>
      <c r="R288" s="75"/>
      <c r="S288" s="75"/>
      <c r="T288" s="75"/>
      <c r="U288" s="75"/>
      <c r="V288" s="75"/>
      <c r="W288" s="75"/>
      <c r="X288" s="75"/>
      <c r="Y288" s="75"/>
      <c r="Z288" s="75"/>
      <c r="AA288" s="75"/>
      <c r="AB288" s="78"/>
      <c r="AC288" s="78"/>
      <c r="AD288" s="75"/>
      <c r="AE288" s="75"/>
      <c r="AF288" s="75"/>
      <c r="AG288" s="75"/>
      <c r="AH288" s="75"/>
      <c r="AI288" s="72"/>
      <c r="AJ288" s="72"/>
      <c r="AK288" s="72"/>
      <c r="AL288" s="72"/>
      <c r="AM288" s="72"/>
      <c r="AN288" s="72"/>
      <c r="AO288" s="72"/>
      <c r="AP288" s="72"/>
      <c r="AQ288" s="72"/>
      <c r="AR288" s="72"/>
      <c r="AS288" s="72"/>
      <c r="AT288" s="72"/>
      <c r="AU288" s="72"/>
    </row>
    <row r="289" customFormat="false" ht="15.75" hidden="false" customHeight="false" outlineLevel="0" collapsed="false">
      <c r="A289" s="73"/>
      <c r="B289" s="72"/>
      <c r="C289" s="72"/>
      <c r="D289" s="72"/>
      <c r="E289" s="7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72"/>
      <c r="AC289" s="72"/>
      <c r="AD289" s="32"/>
      <c r="AE289" s="32"/>
      <c r="AF289" s="32"/>
      <c r="AG289" s="32"/>
      <c r="AH289" s="32"/>
      <c r="AI289" s="72"/>
      <c r="AJ289" s="72"/>
      <c r="AK289" s="72"/>
      <c r="AL289" s="72"/>
      <c r="AM289" s="72"/>
      <c r="AN289" s="72"/>
      <c r="AO289" s="72"/>
      <c r="AP289" s="72"/>
      <c r="AQ289" s="72"/>
      <c r="AR289" s="72"/>
      <c r="AS289" s="72"/>
      <c r="AT289" s="72"/>
      <c r="AU289" s="72"/>
    </row>
    <row r="290" customFormat="false" ht="15.75" hidden="false" customHeight="false" outlineLevel="0" collapsed="false">
      <c r="A290" s="73"/>
      <c r="B290" s="72"/>
      <c r="C290" s="72"/>
      <c r="D290" s="72"/>
      <c r="E290" s="7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72"/>
      <c r="AC290" s="72"/>
      <c r="AD290" s="32"/>
      <c r="AE290" s="32"/>
      <c r="AF290" s="32"/>
      <c r="AG290" s="32"/>
      <c r="AH290" s="32"/>
      <c r="AI290" s="72"/>
      <c r="AJ290" s="72"/>
      <c r="AK290" s="72"/>
      <c r="AL290" s="72"/>
      <c r="AM290" s="72"/>
      <c r="AN290" s="72"/>
      <c r="AO290" s="72"/>
      <c r="AP290" s="72"/>
      <c r="AQ290" s="72"/>
      <c r="AR290" s="72"/>
      <c r="AS290" s="72"/>
      <c r="AT290" s="72"/>
      <c r="AU290" s="72"/>
    </row>
    <row r="291" customFormat="false" ht="15.75" hidden="false" customHeight="false" outlineLevel="0" collapsed="false">
      <c r="A291" s="73"/>
      <c r="B291" s="72"/>
      <c r="C291" s="72"/>
      <c r="D291" s="72"/>
      <c r="E291" s="7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72"/>
      <c r="AC291" s="72"/>
      <c r="AD291" s="32"/>
      <c r="AE291" s="32"/>
      <c r="AF291" s="32"/>
      <c r="AG291" s="32"/>
      <c r="AH291" s="32"/>
      <c r="AI291" s="72"/>
      <c r="AJ291" s="72"/>
      <c r="AK291" s="72"/>
      <c r="AL291" s="72"/>
      <c r="AM291" s="72"/>
      <c r="AN291" s="72"/>
      <c r="AO291" s="72"/>
      <c r="AP291" s="72"/>
      <c r="AQ291" s="72"/>
      <c r="AR291" s="72"/>
      <c r="AS291" s="72"/>
      <c r="AT291" s="72"/>
      <c r="AU291" s="72"/>
    </row>
    <row r="292" customFormat="false" ht="15.75" hidden="false" customHeight="false" outlineLevel="0" collapsed="false">
      <c r="A292" s="73"/>
      <c r="B292" s="72"/>
      <c r="C292" s="72"/>
      <c r="D292" s="72"/>
      <c r="E292" s="7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72"/>
      <c r="AC292" s="72"/>
      <c r="AD292" s="32"/>
      <c r="AE292" s="32"/>
      <c r="AF292" s="32"/>
      <c r="AG292" s="32"/>
      <c r="AH292" s="32"/>
      <c r="AI292" s="72"/>
      <c r="AJ292" s="72"/>
      <c r="AK292" s="72"/>
      <c r="AL292" s="72"/>
      <c r="AM292" s="72"/>
      <c r="AN292" s="72"/>
      <c r="AO292" s="72"/>
      <c r="AP292" s="72"/>
      <c r="AQ292" s="72"/>
      <c r="AR292" s="72"/>
      <c r="AS292" s="72"/>
      <c r="AT292" s="72"/>
      <c r="AU292" s="72"/>
    </row>
    <row r="293" customFormat="false" ht="15.75" hidden="false" customHeight="false" outlineLevel="0" collapsed="false">
      <c r="A293" s="73"/>
      <c r="B293" s="72"/>
      <c r="C293" s="72"/>
      <c r="D293" s="72"/>
      <c r="E293" s="7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72"/>
      <c r="AC293" s="72"/>
      <c r="AD293" s="32"/>
      <c r="AE293" s="32"/>
      <c r="AF293" s="32"/>
      <c r="AG293" s="32"/>
      <c r="AH293" s="32"/>
      <c r="AI293" s="72"/>
      <c r="AJ293" s="72"/>
      <c r="AK293" s="72"/>
      <c r="AL293" s="72"/>
      <c r="AM293" s="72"/>
      <c r="AN293" s="72"/>
      <c r="AO293" s="72"/>
      <c r="AP293" s="72"/>
      <c r="AQ293" s="72"/>
      <c r="AR293" s="72"/>
      <c r="AS293" s="72"/>
      <c r="AT293" s="72"/>
      <c r="AU293" s="72"/>
    </row>
    <row r="294" customFormat="false" ht="15.75" hidden="false" customHeight="false" outlineLevel="0" collapsed="false">
      <c r="A294" s="73"/>
      <c r="B294" s="72"/>
      <c r="C294" s="72"/>
      <c r="D294" s="72"/>
      <c r="E294" s="7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72"/>
      <c r="AC294" s="72"/>
      <c r="AD294" s="32"/>
      <c r="AE294" s="32"/>
      <c r="AF294" s="32"/>
      <c r="AG294" s="32"/>
      <c r="AH294" s="32"/>
      <c r="AI294" s="72"/>
      <c r="AJ294" s="72"/>
      <c r="AK294" s="72"/>
      <c r="AL294" s="72"/>
      <c r="AM294" s="72"/>
      <c r="AN294" s="72"/>
      <c r="AO294" s="72"/>
      <c r="AP294" s="72"/>
      <c r="AQ294" s="72"/>
      <c r="AR294" s="72"/>
      <c r="AS294" s="72"/>
      <c r="AT294" s="72"/>
      <c r="AU294" s="72"/>
    </row>
    <row r="295" customFormat="false" ht="15.75" hidden="false" customHeight="false" outlineLevel="0" collapsed="false">
      <c r="A295" s="73"/>
      <c r="B295" s="72"/>
      <c r="C295" s="72"/>
      <c r="D295" s="72"/>
      <c r="E295" s="7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72"/>
      <c r="AC295" s="72"/>
      <c r="AD295" s="32"/>
      <c r="AE295" s="32"/>
      <c r="AF295" s="32"/>
      <c r="AG295" s="32"/>
      <c r="AH295" s="32"/>
      <c r="AI295" s="72"/>
      <c r="AJ295" s="72"/>
      <c r="AK295" s="72"/>
      <c r="AL295" s="72"/>
      <c r="AM295" s="72"/>
      <c r="AN295" s="72"/>
      <c r="AO295" s="72"/>
      <c r="AP295" s="72"/>
      <c r="AQ295" s="72"/>
      <c r="AR295" s="72"/>
      <c r="AS295" s="72"/>
      <c r="AT295" s="72"/>
      <c r="AU295" s="72"/>
    </row>
    <row r="296" customFormat="false" ht="15.75" hidden="false" customHeight="false" outlineLevel="0" collapsed="false">
      <c r="A296" s="73"/>
      <c r="B296" s="72"/>
      <c r="C296" s="72"/>
      <c r="D296" s="72"/>
      <c r="E296" s="7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72"/>
      <c r="AC296" s="72"/>
      <c r="AD296" s="32"/>
      <c r="AE296" s="32"/>
      <c r="AF296" s="32"/>
      <c r="AG296" s="32"/>
      <c r="AH296" s="32"/>
      <c r="AI296" s="72"/>
      <c r="AJ296" s="72"/>
      <c r="AK296" s="72"/>
      <c r="AL296" s="72"/>
      <c r="AM296" s="72"/>
      <c r="AN296" s="72"/>
      <c r="AO296" s="72"/>
      <c r="AP296" s="72"/>
      <c r="AQ296" s="72"/>
      <c r="AR296" s="72"/>
      <c r="AS296" s="72"/>
      <c r="AT296" s="72"/>
      <c r="AU296" s="72"/>
    </row>
    <row r="297" customFormat="false" ht="15.75" hidden="false" customHeight="false" outlineLevel="0" collapsed="false">
      <c r="A297" s="73"/>
      <c r="B297" s="72"/>
      <c r="C297" s="72"/>
      <c r="D297" s="72"/>
      <c r="E297" s="7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72"/>
      <c r="AC297" s="72"/>
      <c r="AD297" s="32"/>
      <c r="AE297" s="32"/>
      <c r="AF297" s="32"/>
      <c r="AG297" s="32"/>
      <c r="AH297" s="32"/>
      <c r="AI297" s="72"/>
      <c r="AJ297" s="72"/>
      <c r="AK297" s="72"/>
      <c r="AL297" s="72"/>
      <c r="AM297" s="72"/>
      <c r="AN297" s="72"/>
      <c r="AO297" s="72"/>
      <c r="AP297" s="72"/>
      <c r="AQ297" s="72"/>
      <c r="AR297" s="72"/>
      <c r="AS297" s="72"/>
      <c r="AT297" s="72"/>
      <c r="AU297" s="72"/>
    </row>
    <row r="298" customFormat="false" ht="15.75" hidden="false" customHeight="false" outlineLevel="0" collapsed="false">
      <c r="A298" s="73"/>
      <c r="B298" s="72"/>
      <c r="C298" s="72"/>
      <c r="D298" s="72"/>
      <c r="E298" s="7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72"/>
      <c r="AC298" s="72"/>
      <c r="AD298" s="32"/>
      <c r="AE298" s="32"/>
      <c r="AF298" s="32"/>
      <c r="AG298" s="32"/>
      <c r="AH298" s="32"/>
      <c r="AI298" s="72"/>
      <c r="AJ298" s="72"/>
      <c r="AK298" s="72"/>
      <c r="AL298" s="72"/>
      <c r="AM298" s="72"/>
      <c r="AN298" s="72"/>
      <c r="AO298" s="72"/>
      <c r="AP298" s="72"/>
      <c r="AQ298" s="72"/>
      <c r="AR298" s="72"/>
      <c r="AS298" s="72"/>
      <c r="AT298" s="72"/>
      <c r="AU298" s="72"/>
    </row>
    <row r="299" customFormat="false" ht="15.75" hidden="false" customHeight="false" outlineLevel="0" collapsed="false">
      <c r="A299" s="73"/>
      <c r="B299" s="72"/>
      <c r="C299" s="72"/>
      <c r="D299" s="72"/>
      <c r="E299" s="7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72"/>
      <c r="AC299" s="72"/>
      <c r="AD299" s="32"/>
      <c r="AE299" s="32"/>
      <c r="AF299" s="32"/>
      <c r="AG299" s="32"/>
      <c r="AH299" s="32"/>
      <c r="AI299" s="72"/>
      <c r="AJ299" s="72"/>
      <c r="AK299" s="72"/>
      <c r="AL299" s="72"/>
      <c r="AM299" s="72"/>
      <c r="AN299" s="72"/>
      <c r="AO299" s="72"/>
      <c r="AP299" s="72"/>
      <c r="AQ299" s="72"/>
      <c r="AR299" s="72"/>
      <c r="AS299" s="72"/>
      <c r="AT299" s="72"/>
      <c r="AU299" s="72"/>
    </row>
    <row r="300" customFormat="false" ht="15.75" hidden="false" customHeight="false" outlineLevel="0" collapsed="false">
      <c r="A300" s="73"/>
      <c r="B300" s="72"/>
      <c r="C300" s="72"/>
      <c r="D300" s="72"/>
      <c r="E300" s="7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72"/>
      <c r="AC300" s="72"/>
      <c r="AD300" s="32"/>
      <c r="AE300" s="32"/>
      <c r="AF300" s="32"/>
      <c r="AG300" s="32"/>
      <c r="AH300" s="32"/>
      <c r="AI300" s="72"/>
      <c r="AJ300" s="72"/>
      <c r="AK300" s="72"/>
      <c r="AL300" s="72"/>
      <c r="AM300" s="72"/>
      <c r="AN300" s="72"/>
      <c r="AO300" s="72"/>
      <c r="AP300" s="72"/>
      <c r="AQ300" s="72"/>
      <c r="AR300" s="72"/>
      <c r="AS300" s="72"/>
      <c r="AT300" s="72"/>
      <c r="AU300" s="72"/>
    </row>
    <row r="301" customFormat="false" ht="15.75" hidden="false" customHeight="false" outlineLevel="0" collapsed="false">
      <c r="A301" s="73"/>
      <c r="B301" s="72"/>
      <c r="C301" s="72"/>
      <c r="D301" s="72"/>
      <c r="E301" s="7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72"/>
      <c r="AC301" s="72"/>
      <c r="AD301" s="32"/>
      <c r="AE301" s="32"/>
      <c r="AF301" s="32"/>
      <c r="AG301" s="32"/>
      <c r="AH301" s="32"/>
      <c r="AI301" s="72"/>
      <c r="AJ301" s="72"/>
      <c r="AK301" s="72"/>
      <c r="AL301" s="72"/>
      <c r="AM301" s="72"/>
      <c r="AN301" s="72"/>
      <c r="AO301" s="72"/>
      <c r="AP301" s="72"/>
      <c r="AQ301" s="72"/>
      <c r="AR301" s="72"/>
      <c r="AS301" s="72"/>
      <c r="AT301" s="72"/>
      <c r="AU301" s="72"/>
    </row>
    <row r="302" customFormat="false" ht="15.75" hidden="false" customHeight="false" outlineLevel="0" collapsed="false">
      <c r="A302" s="73"/>
      <c r="B302" s="72"/>
      <c r="C302" s="72"/>
      <c r="D302" s="72"/>
      <c r="E302" s="7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72"/>
      <c r="AC302" s="72"/>
      <c r="AD302" s="32"/>
      <c r="AE302" s="32"/>
      <c r="AF302" s="32"/>
      <c r="AG302" s="32"/>
      <c r="AH302" s="32"/>
      <c r="AI302" s="72"/>
      <c r="AJ302" s="72"/>
      <c r="AK302" s="72"/>
      <c r="AL302" s="72"/>
      <c r="AM302" s="72"/>
      <c r="AN302" s="72"/>
      <c r="AO302" s="72"/>
      <c r="AP302" s="72"/>
      <c r="AQ302" s="72"/>
      <c r="AR302" s="72"/>
      <c r="AS302" s="72"/>
      <c r="AT302" s="72"/>
      <c r="AU302" s="72"/>
    </row>
    <row r="303" customFormat="false" ht="15.75" hidden="false" customHeight="false" outlineLevel="0" collapsed="false">
      <c r="A303" s="73"/>
      <c r="B303" s="72"/>
      <c r="C303" s="72"/>
      <c r="D303" s="72"/>
      <c r="E303" s="7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72"/>
      <c r="AC303" s="72"/>
      <c r="AD303" s="32"/>
      <c r="AE303" s="32"/>
      <c r="AF303" s="32"/>
      <c r="AG303" s="32"/>
      <c r="AH303" s="32"/>
      <c r="AI303" s="72"/>
      <c r="AJ303" s="72"/>
      <c r="AK303" s="72"/>
      <c r="AL303" s="72"/>
      <c r="AM303" s="72"/>
      <c r="AN303" s="72"/>
      <c r="AO303" s="72"/>
      <c r="AP303" s="72"/>
      <c r="AQ303" s="72"/>
      <c r="AR303" s="72"/>
      <c r="AS303" s="72"/>
      <c r="AT303" s="72"/>
      <c r="AU303" s="72"/>
    </row>
    <row r="304" customFormat="false" ht="15.75" hidden="false" customHeight="false" outlineLevel="0" collapsed="false">
      <c r="A304" s="73"/>
      <c r="B304" s="72"/>
      <c r="C304" s="72"/>
      <c r="D304" s="72"/>
      <c r="E304" s="7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72"/>
      <c r="AC304" s="72"/>
      <c r="AD304" s="32"/>
      <c r="AE304" s="32"/>
      <c r="AF304" s="32"/>
      <c r="AG304" s="32"/>
      <c r="AH304" s="32"/>
      <c r="AI304" s="72"/>
      <c r="AJ304" s="72"/>
      <c r="AK304" s="72"/>
      <c r="AL304" s="72"/>
      <c r="AM304" s="72"/>
      <c r="AN304" s="72"/>
      <c r="AO304" s="72"/>
      <c r="AP304" s="72"/>
      <c r="AQ304" s="72"/>
      <c r="AR304" s="72"/>
      <c r="AS304" s="72"/>
      <c r="AT304" s="72"/>
      <c r="AU304" s="72"/>
    </row>
    <row r="305" customFormat="false" ht="15.75" hidden="false" customHeight="false" outlineLevel="0" collapsed="false">
      <c r="A305" s="73"/>
      <c r="B305" s="72"/>
      <c r="C305" s="72"/>
      <c r="D305" s="72"/>
      <c r="E305" s="7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72"/>
      <c r="AC305" s="72"/>
      <c r="AD305" s="32"/>
      <c r="AE305" s="32"/>
      <c r="AF305" s="32"/>
      <c r="AG305" s="32"/>
      <c r="AH305" s="32"/>
      <c r="AI305" s="72"/>
      <c r="AJ305" s="72"/>
      <c r="AK305" s="72"/>
      <c r="AL305" s="72"/>
      <c r="AM305" s="72"/>
      <c r="AN305" s="72"/>
      <c r="AO305" s="72"/>
      <c r="AP305" s="72"/>
      <c r="AQ305" s="72"/>
      <c r="AR305" s="72"/>
      <c r="AS305" s="72"/>
      <c r="AT305" s="72"/>
      <c r="AU305" s="72"/>
    </row>
    <row r="306" customFormat="false" ht="15.75" hidden="false" customHeight="false" outlineLevel="0" collapsed="false">
      <c r="A306" s="73"/>
      <c r="B306" s="72"/>
      <c r="C306" s="72"/>
      <c r="D306" s="72"/>
      <c r="E306" s="7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72"/>
      <c r="AC306" s="72"/>
      <c r="AD306" s="32"/>
      <c r="AE306" s="32"/>
      <c r="AF306" s="32"/>
      <c r="AG306" s="32"/>
      <c r="AH306" s="32"/>
      <c r="AI306" s="72"/>
      <c r="AJ306" s="72"/>
      <c r="AK306" s="72"/>
      <c r="AL306" s="72"/>
      <c r="AM306" s="72"/>
      <c r="AN306" s="72"/>
      <c r="AO306" s="72"/>
      <c r="AP306" s="72"/>
      <c r="AQ306" s="72"/>
      <c r="AR306" s="72"/>
      <c r="AS306" s="72"/>
      <c r="AT306" s="72"/>
      <c r="AU306" s="72"/>
    </row>
    <row r="307" customFormat="false" ht="15.75" hidden="false" customHeight="false" outlineLevel="0" collapsed="false">
      <c r="A307" s="73"/>
      <c r="B307" s="72"/>
      <c r="C307" s="72"/>
      <c r="D307" s="72"/>
      <c r="E307" s="7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72"/>
      <c r="AC307" s="72"/>
      <c r="AD307" s="32"/>
      <c r="AE307" s="32"/>
      <c r="AF307" s="32"/>
      <c r="AG307" s="32"/>
      <c r="AH307" s="32"/>
      <c r="AI307" s="72"/>
      <c r="AJ307" s="72"/>
      <c r="AK307" s="72"/>
      <c r="AL307" s="72"/>
      <c r="AM307" s="72"/>
      <c r="AN307" s="72"/>
      <c r="AO307" s="72"/>
      <c r="AP307" s="72"/>
      <c r="AQ307" s="72"/>
      <c r="AR307" s="72"/>
      <c r="AS307" s="72"/>
      <c r="AT307" s="72"/>
      <c r="AU307" s="72"/>
    </row>
    <row r="308" customFormat="false" ht="15.75" hidden="false" customHeight="false" outlineLevel="0" collapsed="false">
      <c r="A308" s="73"/>
      <c r="B308" s="72"/>
      <c r="C308" s="72"/>
      <c r="D308" s="72"/>
      <c r="E308" s="7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72"/>
      <c r="AC308" s="72"/>
      <c r="AD308" s="32"/>
      <c r="AE308" s="32"/>
      <c r="AF308" s="32"/>
      <c r="AG308" s="32"/>
      <c r="AH308" s="32"/>
      <c r="AI308" s="72"/>
      <c r="AJ308" s="72"/>
      <c r="AK308" s="72"/>
      <c r="AL308" s="72"/>
      <c r="AM308" s="72"/>
      <c r="AN308" s="72"/>
      <c r="AO308" s="72"/>
      <c r="AP308" s="72"/>
      <c r="AQ308" s="72"/>
      <c r="AR308" s="72"/>
      <c r="AS308" s="72"/>
      <c r="AT308" s="72"/>
      <c r="AU308" s="72"/>
    </row>
    <row r="309" customFormat="false" ht="15.75" hidden="false" customHeight="false" outlineLevel="0" collapsed="false">
      <c r="A309" s="73"/>
      <c r="B309" s="72"/>
      <c r="C309" s="72"/>
      <c r="D309" s="72"/>
      <c r="E309" s="7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72"/>
      <c r="AC309" s="72"/>
      <c r="AD309" s="32"/>
      <c r="AE309" s="32"/>
      <c r="AF309" s="32"/>
      <c r="AG309" s="32"/>
      <c r="AH309" s="32"/>
      <c r="AI309" s="72"/>
      <c r="AJ309" s="72"/>
      <c r="AK309" s="72"/>
      <c r="AL309" s="72"/>
      <c r="AM309" s="72"/>
      <c r="AN309" s="72"/>
      <c r="AO309" s="72"/>
      <c r="AP309" s="72"/>
      <c r="AQ309" s="72"/>
      <c r="AR309" s="72"/>
      <c r="AS309" s="72"/>
      <c r="AT309" s="72"/>
      <c r="AU309" s="72"/>
    </row>
    <row r="310" customFormat="false" ht="15.75" hidden="false" customHeight="false" outlineLevel="0" collapsed="false">
      <c r="A310" s="73"/>
      <c r="B310" s="72"/>
      <c r="C310" s="72"/>
      <c r="D310" s="72"/>
      <c r="E310" s="7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72"/>
      <c r="AC310" s="72"/>
      <c r="AD310" s="32"/>
      <c r="AE310" s="32"/>
      <c r="AF310" s="32"/>
      <c r="AG310" s="32"/>
      <c r="AH310" s="32"/>
      <c r="AI310" s="72"/>
      <c r="AJ310" s="72"/>
      <c r="AK310" s="72"/>
      <c r="AL310" s="72"/>
      <c r="AM310" s="72"/>
      <c r="AN310" s="72"/>
      <c r="AO310" s="72"/>
      <c r="AP310" s="72"/>
      <c r="AQ310" s="72"/>
      <c r="AR310" s="72"/>
      <c r="AS310" s="72"/>
      <c r="AT310" s="72"/>
      <c r="AU310" s="72"/>
    </row>
    <row r="311" customFormat="false" ht="15.75" hidden="false" customHeight="false" outlineLevel="0" collapsed="false">
      <c r="A311" s="73"/>
      <c r="B311" s="72"/>
      <c r="C311" s="72"/>
      <c r="D311" s="72"/>
      <c r="E311" s="7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72"/>
      <c r="AC311" s="72"/>
      <c r="AD311" s="32"/>
      <c r="AE311" s="32"/>
      <c r="AF311" s="32"/>
      <c r="AG311" s="32"/>
      <c r="AH311" s="32"/>
      <c r="AI311" s="72"/>
      <c r="AJ311" s="72"/>
      <c r="AK311" s="72"/>
      <c r="AL311" s="72"/>
      <c r="AM311" s="72"/>
      <c r="AN311" s="72"/>
      <c r="AO311" s="72"/>
      <c r="AP311" s="72"/>
      <c r="AQ311" s="72"/>
      <c r="AR311" s="72"/>
      <c r="AS311" s="72"/>
      <c r="AT311" s="72"/>
      <c r="AU311" s="72"/>
    </row>
    <row r="312" customFormat="false" ht="15.75" hidden="false" customHeight="false" outlineLevel="0" collapsed="false">
      <c r="A312" s="73"/>
      <c r="B312" s="72"/>
      <c r="C312" s="72"/>
      <c r="D312" s="72"/>
      <c r="E312" s="7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72"/>
      <c r="AC312" s="72"/>
      <c r="AD312" s="32"/>
      <c r="AE312" s="32"/>
      <c r="AF312" s="32"/>
      <c r="AG312" s="32"/>
      <c r="AH312" s="32"/>
      <c r="AI312" s="72"/>
      <c r="AJ312" s="72"/>
      <c r="AK312" s="72"/>
      <c r="AL312" s="72"/>
      <c r="AM312" s="72"/>
      <c r="AN312" s="72"/>
      <c r="AO312" s="72"/>
      <c r="AP312" s="72"/>
      <c r="AQ312" s="72"/>
      <c r="AR312" s="72"/>
      <c r="AS312" s="72"/>
      <c r="AT312" s="72"/>
      <c r="AU312" s="72"/>
    </row>
    <row r="313" customFormat="false" ht="15.75" hidden="false" customHeight="false" outlineLevel="0" collapsed="false">
      <c r="A313" s="73"/>
      <c r="B313" s="72"/>
      <c r="C313" s="72"/>
      <c r="D313" s="72"/>
      <c r="E313" s="7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72"/>
      <c r="AC313" s="72"/>
      <c r="AD313" s="32"/>
      <c r="AE313" s="32"/>
      <c r="AF313" s="32"/>
      <c r="AG313" s="32"/>
      <c r="AH313" s="32"/>
      <c r="AI313" s="72"/>
      <c r="AJ313" s="72"/>
      <c r="AK313" s="72"/>
      <c r="AL313" s="72"/>
      <c r="AM313" s="72"/>
      <c r="AN313" s="72"/>
      <c r="AO313" s="72"/>
      <c r="AP313" s="72"/>
      <c r="AQ313" s="72"/>
      <c r="AR313" s="72"/>
      <c r="AS313" s="72"/>
      <c r="AT313" s="72"/>
      <c r="AU313" s="72"/>
    </row>
    <row r="314" customFormat="false" ht="15.75" hidden="false" customHeight="false" outlineLevel="0" collapsed="false">
      <c r="A314" s="73"/>
      <c r="B314" s="72"/>
      <c r="C314" s="72"/>
      <c r="D314" s="72"/>
      <c r="E314" s="7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72"/>
      <c r="AC314" s="72"/>
      <c r="AD314" s="32"/>
      <c r="AE314" s="32"/>
      <c r="AF314" s="32"/>
      <c r="AG314" s="32"/>
      <c r="AH314" s="32"/>
      <c r="AI314" s="72"/>
      <c r="AJ314" s="72"/>
      <c r="AK314" s="72"/>
      <c r="AL314" s="72"/>
      <c r="AM314" s="72"/>
      <c r="AN314" s="72"/>
      <c r="AO314" s="72"/>
      <c r="AP314" s="72"/>
      <c r="AQ314" s="72"/>
      <c r="AR314" s="72"/>
      <c r="AS314" s="72"/>
      <c r="AT314" s="72"/>
      <c r="AU314" s="72"/>
    </row>
    <row r="315" customFormat="false" ht="15.75" hidden="false" customHeight="false" outlineLevel="0" collapsed="false">
      <c r="A315" s="73"/>
      <c r="B315" s="72"/>
      <c r="C315" s="72"/>
      <c r="D315" s="72"/>
      <c r="E315" s="7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72"/>
      <c r="AC315" s="72"/>
      <c r="AD315" s="32"/>
      <c r="AE315" s="32"/>
      <c r="AF315" s="32"/>
      <c r="AG315" s="32"/>
      <c r="AH315" s="32"/>
      <c r="AI315" s="72"/>
      <c r="AJ315" s="72"/>
      <c r="AK315" s="72"/>
      <c r="AL315" s="72"/>
      <c r="AM315" s="72"/>
      <c r="AN315" s="72"/>
      <c r="AO315" s="72"/>
      <c r="AP315" s="72"/>
      <c r="AQ315" s="72"/>
      <c r="AR315" s="72"/>
      <c r="AS315" s="72"/>
      <c r="AT315" s="72"/>
      <c r="AU315" s="72"/>
    </row>
    <row r="316" customFormat="false" ht="15.75" hidden="false" customHeight="false" outlineLevel="0" collapsed="false">
      <c r="A316" s="73"/>
      <c r="B316" s="72"/>
      <c r="C316" s="72"/>
      <c r="D316" s="72"/>
      <c r="E316" s="7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72"/>
      <c r="AC316" s="72"/>
      <c r="AD316" s="32"/>
      <c r="AE316" s="32"/>
      <c r="AF316" s="32"/>
      <c r="AG316" s="32"/>
      <c r="AH316" s="32"/>
      <c r="AI316" s="72"/>
      <c r="AJ316" s="72"/>
      <c r="AK316" s="72"/>
      <c r="AL316" s="72"/>
      <c r="AM316" s="72"/>
      <c r="AN316" s="72"/>
      <c r="AO316" s="72"/>
      <c r="AP316" s="72"/>
      <c r="AQ316" s="72"/>
      <c r="AR316" s="72"/>
      <c r="AS316" s="72"/>
      <c r="AT316" s="72"/>
      <c r="AU316" s="72"/>
    </row>
    <row r="317" customFormat="false" ht="15.75" hidden="false" customHeight="false" outlineLevel="0" collapsed="false">
      <c r="A317" s="73"/>
      <c r="B317" s="72"/>
      <c r="C317" s="72"/>
      <c r="D317" s="72"/>
      <c r="E317" s="7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72"/>
      <c r="AC317" s="72"/>
      <c r="AD317" s="32"/>
      <c r="AE317" s="32"/>
      <c r="AF317" s="32"/>
      <c r="AG317" s="32"/>
      <c r="AH317" s="32"/>
      <c r="AI317" s="72"/>
      <c r="AJ317" s="72"/>
      <c r="AK317" s="72"/>
      <c r="AL317" s="72"/>
      <c r="AM317" s="72"/>
      <c r="AN317" s="72"/>
      <c r="AO317" s="72"/>
      <c r="AP317" s="72"/>
      <c r="AQ317" s="72"/>
      <c r="AR317" s="72"/>
      <c r="AS317" s="72"/>
      <c r="AT317" s="72"/>
      <c r="AU317" s="72"/>
    </row>
    <row r="318" customFormat="false" ht="15.75" hidden="false" customHeight="false" outlineLevel="0" collapsed="false">
      <c r="A318" s="73"/>
      <c r="B318" s="72"/>
      <c r="C318" s="72"/>
      <c r="D318" s="72"/>
      <c r="E318" s="7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72"/>
      <c r="AC318" s="72"/>
      <c r="AD318" s="32"/>
      <c r="AE318" s="32"/>
      <c r="AF318" s="32"/>
      <c r="AG318" s="32"/>
      <c r="AH318" s="32"/>
      <c r="AI318" s="72"/>
      <c r="AJ318" s="72"/>
      <c r="AK318" s="72"/>
      <c r="AL318" s="72"/>
      <c r="AM318" s="72"/>
      <c r="AN318" s="72"/>
      <c r="AO318" s="72"/>
      <c r="AP318" s="72"/>
      <c r="AQ318" s="72"/>
      <c r="AR318" s="72"/>
      <c r="AS318" s="72"/>
      <c r="AT318" s="72"/>
      <c r="AU318" s="72"/>
    </row>
    <row r="319" customFormat="false" ht="15.75" hidden="false" customHeight="false" outlineLevel="0" collapsed="false">
      <c r="A319" s="73"/>
      <c r="B319" s="72"/>
      <c r="C319" s="72"/>
      <c r="D319" s="72"/>
      <c r="E319" s="7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72"/>
      <c r="AC319" s="72"/>
      <c r="AD319" s="32"/>
      <c r="AE319" s="32"/>
      <c r="AF319" s="32"/>
      <c r="AG319" s="32"/>
      <c r="AH319" s="32"/>
      <c r="AI319" s="72"/>
      <c r="AJ319" s="72"/>
      <c r="AK319" s="72"/>
      <c r="AL319" s="72"/>
      <c r="AM319" s="72"/>
      <c r="AN319" s="72"/>
      <c r="AO319" s="72"/>
      <c r="AP319" s="72"/>
      <c r="AQ319" s="72"/>
      <c r="AR319" s="72"/>
      <c r="AS319" s="72"/>
      <c r="AT319" s="72"/>
      <c r="AU319" s="72"/>
    </row>
    <row r="320" customFormat="false" ht="15.75" hidden="false" customHeight="false" outlineLevel="0" collapsed="false">
      <c r="A320" s="73"/>
      <c r="B320" s="72"/>
      <c r="C320" s="72"/>
      <c r="D320" s="72"/>
      <c r="E320" s="7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72"/>
      <c r="AC320" s="72"/>
      <c r="AD320" s="32"/>
      <c r="AE320" s="32"/>
      <c r="AF320" s="32"/>
      <c r="AG320" s="32"/>
      <c r="AH320" s="32"/>
      <c r="AI320" s="72"/>
      <c r="AJ320" s="72"/>
      <c r="AK320" s="72"/>
      <c r="AL320" s="72"/>
      <c r="AM320" s="72"/>
      <c r="AN320" s="72"/>
      <c r="AO320" s="72"/>
      <c r="AP320" s="72"/>
      <c r="AQ320" s="72"/>
      <c r="AR320" s="72"/>
      <c r="AS320" s="72"/>
      <c r="AT320" s="72"/>
      <c r="AU320" s="72"/>
    </row>
    <row r="321" customFormat="false" ht="15.75" hidden="false" customHeight="false" outlineLevel="0" collapsed="false">
      <c r="A321" s="73"/>
      <c r="B321" s="72"/>
      <c r="C321" s="72"/>
      <c r="D321" s="72"/>
      <c r="E321" s="7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72"/>
      <c r="AC321" s="72"/>
      <c r="AD321" s="32"/>
      <c r="AE321" s="32"/>
      <c r="AF321" s="32"/>
      <c r="AG321" s="32"/>
      <c r="AH321" s="32"/>
      <c r="AI321" s="72"/>
      <c r="AJ321" s="72"/>
      <c r="AK321" s="72"/>
      <c r="AL321" s="72"/>
      <c r="AM321" s="72"/>
      <c r="AN321" s="72"/>
      <c r="AO321" s="72"/>
      <c r="AP321" s="72"/>
      <c r="AQ321" s="72"/>
      <c r="AR321" s="72"/>
      <c r="AS321" s="72"/>
      <c r="AT321" s="72"/>
      <c r="AU321" s="72"/>
    </row>
    <row r="322" customFormat="false" ht="15.75" hidden="false" customHeight="false" outlineLevel="0" collapsed="false">
      <c r="A322" s="73"/>
      <c r="B322" s="72"/>
      <c r="C322" s="72"/>
      <c r="D322" s="72"/>
      <c r="E322" s="7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72"/>
      <c r="AC322" s="72"/>
      <c r="AD322" s="32"/>
      <c r="AE322" s="32"/>
      <c r="AF322" s="32"/>
      <c r="AG322" s="32"/>
      <c r="AH322" s="32"/>
      <c r="AI322" s="72"/>
      <c r="AJ322" s="72"/>
      <c r="AK322" s="72"/>
      <c r="AL322" s="72"/>
      <c r="AM322" s="72"/>
      <c r="AN322" s="72"/>
      <c r="AO322" s="72"/>
      <c r="AP322" s="72"/>
      <c r="AQ322" s="72"/>
      <c r="AR322" s="72"/>
      <c r="AS322" s="72"/>
      <c r="AT322" s="72"/>
      <c r="AU322" s="72"/>
    </row>
    <row r="323" customFormat="false" ht="15.75" hidden="false" customHeight="false" outlineLevel="0" collapsed="false">
      <c r="A323" s="73"/>
      <c r="B323" s="72"/>
      <c r="C323" s="72"/>
      <c r="D323" s="72"/>
      <c r="E323" s="7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72"/>
      <c r="AC323" s="72"/>
      <c r="AD323" s="32"/>
      <c r="AE323" s="32"/>
      <c r="AF323" s="32"/>
      <c r="AG323" s="32"/>
      <c r="AH323" s="32"/>
      <c r="AI323" s="72"/>
      <c r="AJ323" s="72"/>
      <c r="AK323" s="72"/>
      <c r="AL323" s="72"/>
      <c r="AM323" s="72"/>
      <c r="AN323" s="72"/>
      <c r="AO323" s="72"/>
      <c r="AP323" s="72"/>
      <c r="AQ323" s="72"/>
      <c r="AR323" s="72"/>
      <c r="AS323" s="72"/>
      <c r="AT323" s="72"/>
      <c r="AU323" s="72"/>
    </row>
    <row r="324" customFormat="false" ht="15.75" hidden="false" customHeight="false" outlineLevel="0" collapsed="false">
      <c r="A324" s="73"/>
      <c r="B324" s="72"/>
      <c r="C324" s="72"/>
      <c r="D324" s="72"/>
      <c r="E324" s="7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72"/>
      <c r="AC324" s="72"/>
      <c r="AD324" s="32"/>
      <c r="AE324" s="32"/>
      <c r="AF324" s="32"/>
      <c r="AG324" s="32"/>
      <c r="AH324" s="32"/>
      <c r="AI324" s="72"/>
      <c r="AJ324" s="72"/>
      <c r="AK324" s="72"/>
      <c r="AL324" s="72"/>
      <c r="AM324" s="72"/>
      <c r="AN324" s="72"/>
      <c r="AO324" s="72"/>
      <c r="AP324" s="72"/>
      <c r="AQ324" s="72"/>
      <c r="AR324" s="72"/>
      <c r="AS324" s="72"/>
      <c r="AT324" s="72"/>
      <c r="AU324" s="72"/>
    </row>
    <row r="325" customFormat="false" ht="15.75" hidden="false" customHeight="false" outlineLevel="0" collapsed="false">
      <c r="A325" s="73"/>
      <c r="B325" s="72"/>
      <c r="C325" s="72"/>
      <c r="D325" s="72"/>
      <c r="E325" s="7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72"/>
      <c r="AC325" s="72"/>
      <c r="AD325" s="32"/>
      <c r="AE325" s="32"/>
      <c r="AF325" s="32"/>
      <c r="AG325" s="32"/>
      <c r="AH325" s="32"/>
      <c r="AI325" s="72"/>
      <c r="AJ325" s="72"/>
      <c r="AK325" s="72"/>
      <c r="AL325" s="72"/>
      <c r="AM325" s="72"/>
      <c r="AN325" s="72"/>
      <c r="AO325" s="72"/>
      <c r="AP325" s="72"/>
      <c r="AQ325" s="72"/>
      <c r="AR325" s="72"/>
      <c r="AS325" s="72"/>
      <c r="AT325" s="72"/>
      <c r="AU325" s="72"/>
    </row>
    <row r="326" customFormat="false" ht="15.75" hidden="false" customHeight="false" outlineLevel="0" collapsed="false">
      <c r="A326" s="73"/>
      <c r="B326" s="72"/>
      <c r="C326" s="72"/>
      <c r="D326" s="72"/>
      <c r="E326" s="7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72"/>
      <c r="AC326" s="72"/>
      <c r="AD326" s="32"/>
      <c r="AE326" s="32"/>
      <c r="AF326" s="32"/>
      <c r="AG326" s="32"/>
      <c r="AH326" s="32"/>
      <c r="AI326" s="72"/>
      <c r="AJ326" s="72"/>
      <c r="AK326" s="72"/>
      <c r="AL326" s="72"/>
      <c r="AM326" s="72"/>
      <c r="AN326" s="72"/>
      <c r="AO326" s="72"/>
      <c r="AP326" s="72"/>
      <c r="AQ326" s="72"/>
      <c r="AR326" s="72"/>
      <c r="AS326" s="72"/>
      <c r="AT326" s="72"/>
      <c r="AU326" s="72"/>
    </row>
    <row r="327" customFormat="false" ht="15.75" hidden="false" customHeight="false" outlineLevel="0" collapsed="false">
      <c r="A327" s="73"/>
      <c r="B327" s="72"/>
      <c r="C327" s="72"/>
      <c r="D327" s="72"/>
      <c r="E327" s="7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72"/>
      <c r="AC327" s="72"/>
      <c r="AD327" s="32"/>
      <c r="AE327" s="32"/>
      <c r="AF327" s="32"/>
      <c r="AG327" s="32"/>
      <c r="AH327" s="32"/>
      <c r="AI327" s="72"/>
      <c r="AJ327" s="72"/>
      <c r="AK327" s="72"/>
      <c r="AL327" s="72"/>
      <c r="AM327" s="72"/>
      <c r="AN327" s="72"/>
      <c r="AO327" s="72"/>
      <c r="AP327" s="72"/>
      <c r="AQ327" s="72"/>
      <c r="AR327" s="72"/>
      <c r="AS327" s="72"/>
      <c r="AT327" s="72"/>
      <c r="AU327" s="72"/>
    </row>
    <row r="328" customFormat="false" ht="15.75" hidden="false" customHeight="false" outlineLevel="0" collapsed="false">
      <c r="A328" s="73"/>
      <c r="B328" s="72"/>
      <c r="C328" s="72"/>
      <c r="D328" s="72"/>
      <c r="E328" s="7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72"/>
      <c r="AC328" s="72"/>
      <c r="AD328" s="32"/>
      <c r="AE328" s="32"/>
      <c r="AF328" s="32"/>
      <c r="AG328" s="32"/>
      <c r="AH328" s="32"/>
      <c r="AI328" s="72"/>
      <c r="AJ328" s="72"/>
      <c r="AK328" s="72"/>
      <c r="AL328" s="72"/>
      <c r="AM328" s="72"/>
      <c r="AN328" s="72"/>
      <c r="AO328" s="72"/>
      <c r="AP328" s="72"/>
      <c r="AQ328" s="72"/>
      <c r="AR328" s="72"/>
      <c r="AS328" s="72"/>
      <c r="AT328" s="72"/>
      <c r="AU328" s="72"/>
    </row>
    <row r="329" customFormat="false" ht="15.75" hidden="false" customHeight="false" outlineLevel="0" collapsed="false">
      <c r="A329" s="73"/>
      <c r="B329" s="72"/>
      <c r="C329" s="72"/>
      <c r="D329" s="72"/>
      <c r="E329" s="7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72"/>
      <c r="AC329" s="72"/>
      <c r="AD329" s="32"/>
      <c r="AE329" s="32"/>
      <c r="AF329" s="32"/>
      <c r="AG329" s="32"/>
      <c r="AH329" s="32"/>
      <c r="AI329" s="72"/>
      <c r="AJ329" s="72"/>
      <c r="AK329" s="72"/>
      <c r="AL329" s="72"/>
      <c r="AM329" s="72"/>
      <c r="AN329" s="72"/>
      <c r="AO329" s="72"/>
      <c r="AP329" s="72"/>
      <c r="AQ329" s="72"/>
      <c r="AR329" s="72"/>
      <c r="AS329" s="72"/>
      <c r="AT329" s="72"/>
      <c r="AU329" s="72"/>
    </row>
    <row r="330" customFormat="false" ht="15.75" hidden="false" customHeight="false" outlineLevel="0" collapsed="false">
      <c r="A330" s="73"/>
      <c r="B330" s="72"/>
      <c r="C330" s="72"/>
      <c r="D330" s="72"/>
      <c r="E330" s="7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72"/>
      <c r="AC330" s="72"/>
      <c r="AD330" s="32"/>
      <c r="AE330" s="32"/>
      <c r="AF330" s="32"/>
      <c r="AG330" s="32"/>
      <c r="AH330" s="32"/>
      <c r="AI330" s="72"/>
      <c r="AJ330" s="72"/>
      <c r="AK330" s="72"/>
      <c r="AL330" s="72"/>
      <c r="AM330" s="72"/>
      <c r="AN330" s="72"/>
      <c r="AO330" s="72"/>
      <c r="AP330" s="72"/>
      <c r="AQ330" s="72"/>
      <c r="AR330" s="72"/>
      <c r="AS330" s="72"/>
      <c r="AT330" s="72"/>
      <c r="AU330" s="72"/>
    </row>
    <row r="331" customFormat="false" ht="15.75" hidden="false" customHeight="false" outlineLevel="0" collapsed="false">
      <c r="A331" s="73"/>
      <c r="B331" s="72"/>
      <c r="C331" s="72"/>
      <c r="D331" s="72"/>
      <c r="E331" s="7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72"/>
      <c r="AC331" s="72"/>
      <c r="AD331" s="32"/>
      <c r="AE331" s="32"/>
      <c r="AF331" s="32"/>
      <c r="AG331" s="32"/>
      <c r="AH331" s="32"/>
      <c r="AI331" s="72"/>
      <c r="AJ331" s="72"/>
      <c r="AK331" s="72"/>
      <c r="AL331" s="72"/>
      <c r="AM331" s="72"/>
      <c r="AN331" s="72"/>
      <c r="AO331" s="72"/>
      <c r="AP331" s="72"/>
      <c r="AQ331" s="72"/>
      <c r="AR331" s="72"/>
      <c r="AS331" s="72"/>
      <c r="AT331" s="72"/>
      <c r="AU331" s="72"/>
    </row>
    <row r="332" customFormat="false" ht="15.75" hidden="false" customHeight="false" outlineLevel="0" collapsed="false">
      <c r="A332" s="73"/>
      <c r="B332" s="72"/>
      <c r="C332" s="72"/>
      <c r="D332" s="72"/>
      <c r="E332" s="7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72"/>
      <c r="AC332" s="72"/>
      <c r="AD332" s="32"/>
      <c r="AE332" s="32"/>
      <c r="AF332" s="32"/>
      <c r="AG332" s="32"/>
      <c r="AH332" s="32"/>
      <c r="AI332" s="72"/>
      <c r="AJ332" s="72"/>
      <c r="AK332" s="72"/>
      <c r="AL332" s="72"/>
      <c r="AM332" s="72"/>
      <c r="AN332" s="72"/>
      <c r="AO332" s="72"/>
      <c r="AP332" s="72"/>
      <c r="AQ332" s="72"/>
      <c r="AR332" s="72"/>
      <c r="AS332" s="72"/>
      <c r="AT332" s="72"/>
      <c r="AU332" s="72"/>
    </row>
    <row r="333" customFormat="false" ht="15.75" hidden="false" customHeight="false" outlineLevel="0" collapsed="false">
      <c r="A333" s="73"/>
      <c r="B333" s="72"/>
      <c r="C333" s="72"/>
      <c r="D333" s="72"/>
      <c r="E333" s="7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72"/>
      <c r="AC333" s="72"/>
      <c r="AD333" s="32"/>
      <c r="AE333" s="32"/>
      <c r="AF333" s="32"/>
      <c r="AG333" s="32"/>
      <c r="AH333" s="32"/>
      <c r="AI333" s="72"/>
      <c r="AJ333" s="72"/>
      <c r="AK333" s="72"/>
      <c r="AL333" s="72"/>
      <c r="AM333" s="72"/>
      <c r="AN333" s="72"/>
      <c r="AO333" s="72"/>
      <c r="AP333" s="72"/>
      <c r="AQ333" s="72"/>
      <c r="AR333" s="72"/>
      <c r="AS333" s="72"/>
      <c r="AT333" s="72"/>
      <c r="AU333" s="72"/>
    </row>
    <row r="334" customFormat="false" ht="15.75" hidden="false" customHeight="false" outlineLevel="0" collapsed="false">
      <c r="A334" s="73"/>
      <c r="B334" s="72"/>
      <c r="C334" s="72"/>
      <c r="D334" s="72"/>
      <c r="E334" s="7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72"/>
      <c r="AC334" s="72"/>
      <c r="AD334" s="32"/>
      <c r="AE334" s="32"/>
      <c r="AF334" s="32"/>
      <c r="AG334" s="32"/>
      <c r="AH334" s="32"/>
      <c r="AI334" s="72"/>
      <c r="AJ334" s="72"/>
      <c r="AK334" s="72"/>
      <c r="AL334" s="72"/>
      <c r="AM334" s="72"/>
      <c r="AN334" s="72"/>
      <c r="AO334" s="72"/>
      <c r="AP334" s="72"/>
      <c r="AQ334" s="72"/>
      <c r="AR334" s="72"/>
      <c r="AS334" s="72"/>
      <c r="AT334" s="72"/>
      <c r="AU334" s="72"/>
    </row>
    <row r="335" customFormat="false" ht="15.75" hidden="false" customHeight="false" outlineLevel="0" collapsed="false">
      <c r="A335" s="73"/>
      <c r="B335" s="72"/>
      <c r="C335" s="72"/>
      <c r="D335" s="72"/>
      <c r="E335" s="7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72"/>
      <c r="AC335" s="72"/>
      <c r="AD335" s="32"/>
      <c r="AE335" s="32"/>
      <c r="AF335" s="32"/>
      <c r="AG335" s="32"/>
      <c r="AH335" s="32"/>
      <c r="AI335" s="72"/>
      <c r="AJ335" s="72"/>
      <c r="AK335" s="72"/>
      <c r="AL335" s="72"/>
      <c r="AM335" s="72"/>
      <c r="AN335" s="72"/>
      <c r="AO335" s="72"/>
      <c r="AP335" s="72"/>
      <c r="AQ335" s="72"/>
      <c r="AR335" s="72"/>
      <c r="AS335" s="72"/>
      <c r="AT335" s="72"/>
      <c r="AU335" s="72"/>
    </row>
    <row r="336" customFormat="false" ht="15.75" hidden="false" customHeight="false" outlineLevel="0" collapsed="false">
      <c r="A336" s="73"/>
      <c r="B336" s="72"/>
      <c r="C336" s="72"/>
      <c r="D336" s="72"/>
      <c r="E336" s="7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72"/>
      <c r="AC336" s="72"/>
      <c r="AD336" s="32"/>
      <c r="AE336" s="32"/>
      <c r="AF336" s="32"/>
      <c r="AG336" s="32"/>
      <c r="AH336" s="32"/>
      <c r="AI336" s="72"/>
      <c r="AJ336" s="72"/>
      <c r="AK336" s="72"/>
      <c r="AL336" s="72"/>
      <c r="AM336" s="72"/>
      <c r="AN336" s="72"/>
      <c r="AO336" s="72"/>
      <c r="AP336" s="72"/>
      <c r="AQ336" s="72"/>
      <c r="AR336" s="72"/>
      <c r="AS336" s="72"/>
      <c r="AT336" s="72"/>
      <c r="AU336" s="72"/>
    </row>
    <row r="337" customFormat="false" ht="15.75" hidden="false" customHeight="false" outlineLevel="0" collapsed="false">
      <c r="A337" s="73"/>
      <c r="B337" s="72"/>
      <c r="C337" s="72"/>
      <c r="D337" s="72"/>
      <c r="E337" s="7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72"/>
      <c r="AC337" s="72"/>
      <c r="AD337" s="32"/>
      <c r="AE337" s="32"/>
      <c r="AF337" s="32"/>
      <c r="AG337" s="32"/>
      <c r="AH337" s="32"/>
      <c r="AI337" s="72"/>
      <c r="AJ337" s="72"/>
      <c r="AK337" s="72"/>
      <c r="AL337" s="72"/>
      <c r="AM337" s="72"/>
      <c r="AN337" s="72"/>
      <c r="AO337" s="72"/>
      <c r="AP337" s="72"/>
      <c r="AQ337" s="72"/>
      <c r="AR337" s="72"/>
      <c r="AS337" s="72"/>
      <c r="AT337" s="72"/>
      <c r="AU337" s="72"/>
    </row>
    <row r="338" customFormat="false" ht="15.75" hidden="false" customHeight="false" outlineLevel="0" collapsed="false">
      <c r="A338" s="73"/>
      <c r="B338" s="72"/>
      <c r="C338" s="72"/>
      <c r="D338" s="72"/>
      <c r="E338" s="7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72"/>
      <c r="AC338" s="72"/>
      <c r="AD338" s="32"/>
      <c r="AE338" s="32"/>
      <c r="AF338" s="32"/>
      <c r="AG338" s="32"/>
      <c r="AH338" s="32"/>
      <c r="AI338" s="72"/>
      <c r="AJ338" s="72"/>
      <c r="AK338" s="72"/>
      <c r="AL338" s="72"/>
      <c r="AM338" s="72"/>
      <c r="AN338" s="72"/>
      <c r="AO338" s="72"/>
      <c r="AP338" s="72"/>
      <c r="AQ338" s="72"/>
      <c r="AR338" s="72"/>
      <c r="AS338" s="72"/>
      <c r="AT338" s="72"/>
      <c r="AU338" s="72"/>
    </row>
    <row r="339" customFormat="false" ht="15.75" hidden="false" customHeight="false" outlineLevel="0" collapsed="false">
      <c r="A339" s="73"/>
      <c r="B339" s="72"/>
      <c r="C339" s="72"/>
      <c r="D339" s="72"/>
      <c r="E339" s="7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72"/>
      <c r="AC339" s="72"/>
      <c r="AD339" s="32"/>
      <c r="AE339" s="32"/>
      <c r="AF339" s="32"/>
      <c r="AG339" s="32"/>
      <c r="AH339" s="32"/>
      <c r="AI339" s="72"/>
      <c r="AJ339" s="72"/>
      <c r="AK339" s="72"/>
      <c r="AL339" s="72"/>
      <c r="AM339" s="72"/>
      <c r="AN339" s="72"/>
      <c r="AO339" s="72"/>
      <c r="AP339" s="72"/>
      <c r="AQ339" s="72"/>
      <c r="AR339" s="72"/>
      <c r="AS339" s="72"/>
      <c r="AT339" s="72"/>
      <c r="AU339" s="72"/>
    </row>
    <row r="340" customFormat="false" ht="15.75" hidden="false" customHeight="false" outlineLevel="0" collapsed="false">
      <c r="A340" s="73"/>
      <c r="B340" s="72"/>
      <c r="C340" s="72"/>
      <c r="D340" s="72"/>
      <c r="E340" s="7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72"/>
      <c r="AC340" s="72"/>
      <c r="AD340" s="32"/>
      <c r="AE340" s="32"/>
      <c r="AF340" s="32"/>
      <c r="AG340" s="32"/>
      <c r="AH340" s="32"/>
      <c r="AI340" s="72"/>
      <c r="AJ340" s="72"/>
      <c r="AK340" s="72"/>
      <c r="AL340" s="72"/>
      <c r="AM340" s="72"/>
      <c r="AN340" s="72"/>
      <c r="AO340" s="72"/>
      <c r="AP340" s="72"/>
      <c r="AQ340" s="72"/>
      <c r="AR340" s="72"/>
      <c r="AS340" s="72"/>
      <c r="AT340" s="72"/>
      <c r="AU340" s="72"/>
    </row>
    <row r="341" customFormat="false" ht="15.75" hidden="false" customHeight="false" outlineLevel="0" collapsed="false">
      <c r="A341" s="73"/>
      <c r="B341" s="72"/>
      <c r="C341" s="72"/>
      <c r="D341" s="72"/>
      <c r="E341" s="7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72"/>
      <c r="AC341" s="72"/>
      <c r="AD341" s="32"/>
      <c r="AE341" s="32"/>
      <c r="AF341" s="32"/>
      <c r="AG341" s="32"/>
      <c r="AH341" s="32"/>
      <c r="AI341" s="72"/>
      <c r="AJ341" s="72"/>
      <c r="AK341" s="72"/>
      <c r="AL341" s="72"/>
      <c r="AM341" s="72"/>
      <c r="AN341" s="72"/>
      <c r="AO341" s="72"/>
      <c r="AP341" s="72"/>
      <c r="AQ341" s="72"/>
      <c r="AR341" s="72"/>
      <c r="AS341" s="72"/>
      <c r="AT341" s="72"/>
      <c r="AU341" s="72"/>
    </row>
    <row r="342" customFormat="false" ht="15.75" hidden="false" customHeight="false" outlineLevel="0" collapsed="false">
      <c r="A342" s="73"/>
      <c r="B342" s="72"/>
      <c r="C342" s="72"/>
      <c r="D342" s="72"/>
      <c r="E342" s="7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72"/>
      <c r="AC342" s="72"/>
      <c r="AD342" s="32"/>
      <c r="AE342" s="32"/>
      <c r="AF342" s="32"/>
      <c r="AG342" s="32"/>
      <c r="AH342" s="32"/>
      <c r="AI342" s="72"/>
      <c r="AJ342" s="72"/>
      <c r="AK342" s="72"/>
      <c r="AL342" s="72"/>
      <c r="AM342" s="72"/>
      <c r="AN342" s="72"/>
      <c r="AO342" s="72"/>
      <c r="AP342" s="72"/>
      <c r="AQ342" s="72"/>
      <c r="AR342" s="72"/>
      <c r="AS342" s="72"/>
      <c r="AT342" s="72"/>
      <c r="AU342" s="72"/>
    </row>
    <row r="343" customFormat="false" ht="15.75" hidden="false" customHeight="false" outlineLevel="0" collapsed="false">
      <c r="A343" s="73"/>
      <c r="B343" s="72"/>
      <c r="C343" s="72"/>
      <c r="D343" s="72"/>
      <c r="E343" s="7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72"/>
      <c r="AC343" s="72"/>
      <c r="AD343" s="32"/>
      <c r="AE343" s="32"/>
      <c r="AF343" s="32"/>
      <c r="AG343" s="32"/>
      <c r="AH343" s="32"/>
      <c r="AI343" s="72"/>
      <c r="AJ343" s="72"/>
      <c r="AK343" s="72"/>
      <c r="AL343" s="72"/>
      <c r="AM343" s="72"/>
      <c r="AN343" s="72"/>
      <c r="AO343" s="72"/>
      <c r="AP343" s="72"/>
      <c r="AQ343" s="72"/>
      <c r="AR343" s="72"/>
      <c r="AS343" s="72"/>
      <c r="AT343" s="72"/>
      <c r="AU343" s="72"/>
    </row>
    <row r="344" customFormat="false" ht="15.75" hidden="false" customHeight="false" outlineLevel="0" collapsed="false">
      <c r="A344" s="73"/>
      <c r="B344" s="72"/>
      <c r="C344" s="72"/>
      <c r="D344" s="72"/>
      <c r="E344" s="7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72"/>
      <c r="AC344" s="72"/>
      <c r="AD344" s="32"/>
      <c r="AE344" s="32"/>
      <c r="AF344" s="32"/>
      <c r="AG344" s="32"/>
      <c r="AH344" s="32"/>
      <c r="AI344" s="72"/>
      <c r="AJ344" s="72"/>
      <c r="AK344" s="72"/>
      <c r="AL344" s="72"/>
      <c r="AM344" s="72"/>
      <c r="AN344" s="72"/>
      <c r="AO344" s="72"/>
      <c r="AP344" s="72"/>
      <c r="AQ344" s="72"/>
      <c r="AR344" s="72"/>
      <c r="AS344" s="72"/>
      <c r="AT344" s="72"/>
      <c r="AU344" s="72"/>
    </row>
    <row r="345" customFormat="false" ht="15.75" hidden="false" customHeight="false" outlineLevel="0" collapsed="false">
      <c r="A345" s="73"/>
      <c r="B345" s="72"/>
      <c r="C345" s="72"/>
      <c r="D345" s="72"/>
      <c r="E345" s="7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72"/>
      <c r="AC345" s="72"/>
      <c r="AD345" s="32"/>
      <c r="AE345" s="32"/>
      <c r="AF345" s="32"/>
      <c r="AG345" s="32"/>
      <c r="AH345" s="32"/>
      <c r="AI345" s="72"/>
      <c r="AJ345" s="72"/>
      <c r="AK345" s="72"/>
      <c r="AL345" s="72"/>
      <c r="AM345" s="72"/>
      <c r="AN345" s="72"/>
      <c r="AO345" s="72"/>
      <c r="AP345" s="72"/>
      <c r="AQ345" s="72"/>
      <c r="AR345" s="72"/>
      <c r="AS345" s="72"/>
      <c r="AT345" s="72"/>
      <c r="AU345" s="72"/>
    </row>
    <row r="346" customFormat="false" ht="15.75" hidden="false" customHeight="false" outlineLevel="0" collapsed="false">
      <c r="A346" s="73"/>
      <c r="B346" s="72"/>
      <c r="C346" s="72"/>
      <c r="D346" s="72"/>
      <c r="E346" s="7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72"/>
      <c r="AC346" s="72"/>
      <c r="AD346" s="32"/>
      <c r="AE346" s="32"/>
      <c r="AF346" s="32"/>
      <c r="AG346" s="32"/>
      <c r="AH346" s="32"/>
      <c r="AI346" s="72"/>
      <c r="AJ346" s="72"/>
      <c r="AK346" s="72"/>
      <c r="AL346" s="72"/>
      <c r="AM346" s="72"/>
      <c r="AN346" s="72"/>
      <c r="AO346" s="72"/>
      <c r="AP346" s="72"/>
      <c r="AQ346" s="72"/>
      <c r="AR346" s="72"/>
      <c r="AS346" s="72"/>
      <c r="AT346" s="72"/>
      <c r="AU346" s="72"/>
    </row>
    <row r="347" customFormat="false" ht="15.75" hidden="false" customHeight="false" outlineLevel="0" collapsed="false">
      <c r="A347" s="73"/>
      <c r="B347" s="72"/>
      <c r="C347" s="72"/>
      <c r="D347" s="72"/>
      <c r="E347" s="7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72"/>
      <c r="AC347" s="72"/>
      <c r="AD347" s="32"/>
      <c r="AE347" s="32"/>
      <c r="AF347" s="32"/>
      <c r="AG347" s="32"/>
      <c r="AH347" s="32"/>
      <c r="AI347" s="72"/>
      <c r="AJ347" s="72"/>
      <c r="AK347" s="72"/>
      <c r="AL347" s="72"/>
      <c r="AM347" s="72"/>
      <c r="AN347" s="72"/>
      <c r="AO347" s="72"/>
      <c r="AP347" s="72"/>
      <c r="AQ347" s="72"/>
      <c r="AR347" s="72"/>
      <c r="AS347" s="72"/>
      <c r="AT347" s="72"/>
      <c r="AU347" s="72"/>
    </row>
    <row r="348" customFormat="false" ht="15.75" hidden="false" customHeight="false" outlineLevel="0" collapsed="false">
      <c r="A348" s="73"/>
      <c r="B348" s="72"/>
      <c r="C348" s="72"/>
      <c r="D348" s="72"/>
      <c r="E348" s="7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72"/>
      <c r="AC348" s="72"/>
      <c r="AD348" s="32"/>
      <c r="AE348" s="32"/>
      <c r="AF348" s="32"/>
      <c r="AG348" s="32"/>
      <c r="AH348" s="32"/>
      <c r="AI348" s="72"/>
      <c r="AJ348" s="72"/>
      <c r="AK348" s="72"/>
      <c r="AL348" s="72"/>
      <c r="AM348" s="72"/>
      <c r="AN348" s="72"/>
      <c r="AO348" s="72"/>
      <c r="AP348" s="72"/>
      <c r="AQ348" s="72"/>
      <c r="AR348" s="72"/>
      <c r="AS348" s="72"/>
      <c r="AT348" s="72"/>
      <c r="AU348" s="72"/>
    </row>
    <row r="349" customFormat="false" ht="15.75" hidden="false" customHeight="false" outlineLevel="0" collapsed="false">
      <c r="A349" s="73"/>
      <c r="B349" s="72"/>
      <c r="C349" s="72"/>
      <c r="D349" s="72"/>
      <c r="E349" s="7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72"/>
      <c r="AC349" s="72"/>
      <c r="AD349" s="32"/>
      <c r="AE349" s="32"/>
      <c r="AF349" s="32"/>
      <c r="AG349" s="32"/>
      <c r="AH349" s="32"/>
      <c r="AI349" s="72"/>
      <c r="AJ349" s="72"/>
      <c r="AK349" s="72"/>
      <c r="AL349" s="72"/>
      <c r="AM349" s="72"/>
      <c r="AN349" s="72"/>
      <c r="AO349" s="72"/>
      <c r="AP349" s="72"/>
      <c r="AQ349" s="72"/>
      <c r="AR349" s="72"/>
      <c r="AS349" s="72"/>
      <c r="AT349" s="72"/>
      <c r="AU349" s="72"/>
    </row>
    <row r="350" customFormat="false" ht="15.75" hidden="false" customHeight="false" outlineLevel="0" collapsed="false">
      <c r="A350" s="73"/>
      <c r="B350" s="72"/>
      <c r="C350" s="72"/>
      <c r="D350" s="72"/>
      <c r="E350" s="7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72"/>
      <c r="AC350" s="72"/>
      <c r="AD350" s="32"/>
      <c r="AE350" s="32"/>
      <c r="AF350" s="32"/>
      <c r="AG350" s="32"/>
      <c r="AH350" s="32"/>
      <c r="AI350" s="72"/>
      <c r="AJ350" s="72"/>
      <c r="AK350" s="72"/>
      <c r="AL350" s="72"/>
      <c r="AM350" s="72"/>
      <c r="AN350" s="72"/>
      <c r="AO350" s="72"/>
      <c r="AP350" s="72"/>
      <c r="AQ350" s="72"/>
      <c r="AR350" s="72"/>
      <c r="AS350" s="72"/>
      <c r="AT350" s="72"/>
      <c r="AU350" s="72"/>
    </row>
    <row r="351" customFormat="false" ht="15.75" hidden="false" customHeight="false" outlineLevel="0" collapsed="false">
      <c r="A351" s="73"/>
      <c r="B351" s="72"/>
      <c r="C351" s="72"/>
      <c r="D351" s="72"/>
      <c r="E351" s="7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72"/>
      <c r="AC351" s="72"/>
      <c r="AD351" s="32"/>
      <c r="AE351" s="32"/>
      <c r="AF351" s="32"/>
      <c r="AG351" s="32"/>
      <c r="AH351" s="32"/>
      <c r="AI351" s="72"/>
      <c r="AJ351" s="72"/>
      <c r="AK351" s="72"/>
      <c r="AL351" s="72"/>
      <c r="AM351" s="72"/>
      <c r="AN351" s="72"/>
      <c r="AO351" s="72"/>
      <c r="AP351" s="72"/>
      <c r="AQ351" s="72"/>
      <c r="AR351" s="72"/>
      <c r="AS351" s="72"/>
      <c r="AT351" s="72"/>
      <c r="AU351" s="72"/>
    </row>
    <row r="352" customFormat="false" ht="15.75" hidden="false" customHeight="false" outlineLevel="0" collapsed="false">
      <c r="A352" s="73"/>
      <c r="B352" s="72"/>
      <c r="C352" s="72"/>
      <c r="D352" s="72"/>
      <c r="E352" s="7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72"/>
      <c r="AC352" s="72"/>
      <c r="AD352" s="32"/>
      <c r="AE352" s="32"/>
      <c r="AF352" s="32"/>
      <c r="AG352" s="32"/>
      <c r="AH352" s="32"/>
      <c r="AI352" s="72"/>
      <c r="AJ352" s="72"/>
      <c r="AK352" s="72"/>
      <c r="AL352" s="72"/>
      <c r="AM352" s="72"/>
      <c r="AN352" s="72"/>
      <c r="AO352" s="72"/>
      <c r="AP352" s="72"/>
      <c r="AQ352" s="72"/>
      <c r="AR352" s="72"/>
      <c r="AS352" s="72"/>
      <c r="AT352" s="72"/>
      <c r="AU352" s="72"/>
    </row>
    <row r="353" customFormat="false" ht="15.75" hidden="false" customHeight="false" outlineLevel="0" collapsed="false">
      <c r="A353" s="73"/>
      <c r="B353" s="72"/>
      <c r="C353" s="72"/>
      <c r="D353" s="72"/>
      <c r="E353" s="7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72"/>
      <c r="AC353" s="72"/>
      <c r="AD353" s="32"/>
      <c r="AE353" s="32"/>
      <c r="AF353" s="32"/>
      <c r="AG353" s="32"/>
      <c r="AH353" s="32"/>
      <c r="AI353" s="72"/>
      <c r="AJ353" s="72"/>
      <c r="AK353" s="72"/>
      <c r="AL353" s="72"/>
      <c r="AM353" s="72"/>
      <c r="AN353" s="72"/>
      <c r="AO353" s="72"/>
      <c r="AP353" s="72"/>
      <c r="AQ353" s="72"/>
      <c r="AR353" s="72"/>
      <c r="AS353" s="72"/>
      <c r="AT353" s="72"/>
      <c r="AU353" s="72"/>
    </row>
    <row r="354" customFormat="false" ht="15.75" hidden="false" customHeight="false" outlineLevel="0" collapsed="false">
      <c r="A354" s="73"/>
      <c r="B354" s="72"/>
      <c r="C354" s="72"/>
      <c r="D354" s="72"/>
      <c r="E354" s="7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72"/>
      <c r="AC354" s="72"/>
      <c r="AD354" s="32"/>
      <c r="AE354" s="32"/>
      <c r="AF354" s="32"/>
      <c r="AG354" s="32"/>
      <c r="AH354" s="32"/>
      <c r="AI354" s="72"/>
      <c r="AJ354" s="72"/>
      <c r="AK354" s="72"/>
      <c r="AL354" s="72"/>
      <c r="AM354" s="72"/>
      <c r="AN354" s="72"/>
      <c r="AO354" s="72"/>
      <c r="AP354" s="72"/>
      <c r="AQ354" s="72"/>
      <c r="AR354" s="72"/>
      <c r="AS354" s="72"/>
      <c r="AT354" s="72"/>
      <c r="AU354" s="72"/>
    </row>
    <row r="355" customFormat="false" ht="15.75" hidden="false" customHeight="false" outlineLevel="0" collapsed="false">
      <c r="A355" s="73"/>
      <c r="B355" s="72"/>
      <c r="C355" s="72"/>
      <c r="D355" s="72"/>
      <c r="E355" s="7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72"/>
      <c r="AC355" s="72"/>
      <c r="AD355" s="32"/>
      <c r="AE355" s="32"/>
      <c r="AF355" s="32"/>
      <c r="AG355" s="32"/>
      <c r="AH355" s="32"/>
      <c r="AI355" s="72"/>
      <c r="AJ355" s="72"/>
      <c r="AK355" s="72"/>
      <c r="AL355" s="72"/>
      <c r="AM355" s="72"/>
      <c r="AN355" s="72"/>
      <c r="AO355" s="72"/>
      <c r="AP355" s="72"/>
      <c r="AQ355" s="72"/>
      <c r="AR355" s="72"/>
      <c r="AS355" s="72"/>
      <c r="AT355" s="72"/>
      <c r="AU355" s="72"/>
    </row>
    <row r="356" customFormat="false" ht="15.75" hidden="false" customHeight="false" outlineLevel="0" collapsed="false">
      <c r="A356" s="73"/>
      <c r="B356" s="72"/>
      <c r="C356" s="72"/>
      <c r="D356" s="72"/>
      <c r="E356" s="7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72"/>
      <c r="AC356" s="72"/>
      <c r="AD356" s="32"/>
      <c r="AE356" s="32"/>
      <c r="AF356" s="32"/>
      <c r="AG356" s="32"/>
      <c r="AH356" s="32"/>
      <c r="AI356" s="72"/>
      <c r="AJ356" s="72"/>
      <c r="AK356" s="72"/>
      <c r="AL356" s="72"/>
      <c r="AM356" s="72"/>
      <c r="AN356" s="72"/>
      <c r="AO356" s="72"/>
      <c r="AP356" s="72"/>
      <c r="AQ356" s="72"/>
      <c r="AR356" s="72"/>
      <c r="AS356" s="72"/>
      <c r="AT356" s="72"/>
      <c r="AU356" s="72"/>
    </row>
    <row r="357" customFormat="false" ht="15.75" hidden="false" customHeight="false" outlineLevel="0" collapsed="false">
      <c r="A357" s="73"/>
      <c r="B357" s="72"/>
      <c r="C357" s="72"/>
      <c r="D357" s="72"/>
      <c r="E357" s="7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72"/>
      <c r="AC357" s="72"/>
      <c r="AD357" s="32"/>
      <c r="AE357" s="32"/>
      <c r="AF357" s="32"/>
      <c r="AG357" s="32"/>
      <c r="AH357" s="32"/>
      <c r="AI357" s="72"/>
      <c r="AJ357" s="72"/>
      <c r="AK357" s="72"/>
      <c r="AL357" s="72"/>
      <c r="AM357" s="72"/>
      <c r="AN357" s="72"/>
      <c r="AO357" s="72"/>
      <c r="AP357" s="72"/>
      <c r="AQ357" s="72"/>
      <c r="AR357" s="72"/>
      <c r="AS357" s="72"/>
      <c r="AT357" s="72"/>
      <c r="AU357" s="72"/>
    </row>
    <row r="358" customFormat="false" ht="15.75" hidden="false" customHeight="false" outlineLevel="0" collapsed="false">
      <c r="A358" s="73"/>
      <c r="B358" s="72"/>
      <c r="C358" s="72"/>
      <c r="D358" s="72"/>
      <c r="E358" s="7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72"/>
      <c r="AC358" s="72"/>
      <c r="AD358" s="32"/>
      <c r="AE358" s="32"/>
      <c r="AF358" s="32"/>
      <c r="AG358" s="32"/>
      <c r="AH358" s="32"/>
      <c r="AI358" s="72"/>
      <c r="AJ358" s="72"/>
      <c r="AK358" s="72"/>
      <c r="AL358" s="72"/>
      <c r="AM358" s="72"/>
      <c r="AN358" s="72"/>
      <c r="AO358" s="72"/>
      <c r="AP358" s="72"/>
      <c r="AQ358" s="72"/>
      <c r="AR358" s="72"/>
      <c r="AS358" s="72"/>
      <c r="AT358" s="72"/>
      <c r="AU358" s="72"/>
    </row>
    <row r="359" customFormat="false" ht="15.75" hidden="false" customHeight="false" outlineLevel="0" collapsed="false">
      <c r="A359" s="73"/>
      <c r="B359" s="72"/>
      <c r="C359" s="72"/>
      <c r="D359" s="72"/>
      <c r="E359" s="7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72"/>
      <c r="AC359" s="72"/>
      <c r="AD359" s="32"/>
      <c r="AE359" s="32"/>
      <c r="AF359" s="32"/>
      <c r="AG359" s="32"/>
      <c r="AH359" s="32"/>
      <c r="AI359" s="72"/>
      <c r="AJ359" s="72"/>
      <c r="AK359" s="72"/>
      <c r="AL359" s="72"/>
      <c r="AM359" s="72"/>
      <c r="AN359" s="72"/>
      <c r="AO359" s="72"/>
      <c r="AP359" s="72"/>
      <c r="AQ359" s="72"/>
      <c r="AR359" s="72"/>
      <c r="AS359" s="72"/>
      <c r="AT359" s="72"/>
      <c r="AU359" s="72"/>
    </row>
    <row r="360" customFormat="false" ht="15.75" hidden="false" customHeight="false" outlineLevel="0" collapsed="false">
      <c r="A360" s="73"/>
      <c r="B360" s="72"/>
      <c r="C360" s="72"/>
      <c r="D360" s="72"/>
      <c r="E360" s="7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72"/>
      <c r="AC360" s="72"/>
      <c r="AD360" s="32"/>
      <c r="AE360" s="32"/>
      <c r="AF360" s="32"/>
      <c r="AG360" s="32"/>
      <c r="AH360" s="32"/>
      <c r="AI360" s="72"/>
      <c r="AJ360" s="72"/>
      <c r="AK360" s="72"/>
      <c r="AL360" s="72"/>
      <c r="AM360" s="72"/>
      <c r="AN360" s="72"/>
      <c r="AO360" s="72"/>
      <c r="AP360" s="72"/>
      <c r="AQ360" s="72"/>
      <c r="AR360" s="72"/>
      <c r="AS360" s="72"/>
      <c r="AT360" s="72"/>
      <c r="AU360" s="72"/>
    </row>
    <row r="361" customFormat="false" ht="15.75" hidden="false" customHeight="false" outlineLevel="0" collapsed="false">
      <c r="A361" s="73"/>
      <c r="B361" s="72"/>
      <c r="C361" s="72"/>
      <c r="D361" s="72"/>
      <c r="E361" s="7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72"/>
      <c r="AC361" s="72"/>
      <c r="AD361" s="32"/>
      <c r="AE361" s="32"/>
      <c r="AF361" s="32"/>
      <c r="AG361" s="32"/>
      <c r="AH361" s="32"/>
      <c r="AI361" s="72"/>
      <c r="AJ361" s="72"/>
      <c r="AK361" s="72"/>
      <c r="AL361" s="72"/>
      <c r="AM361" s="72"/>
      <c r="AN361" s="72"/>
      <c r="AO361" s="72"/>
      <c r="AP361" s="72"/>
      <c r="AQ361" s="72"/>
      <c r="AR361" s="72"/>
      <c r="AS361" s="72"/>
      <c r="AT361" s="72"/>
      <c r="AU361" s="72"/>
    </row>
    <row r="362" customFormat="false" ht="15.75" hidden="false" customHeight="false" outlineLevel="0" collapsed="false">
      <c r="A362" s="73"/>
      <c r="B362" s="72"/>
      <c r="C362" s="72"/>
      <c r="D362" s="72"/>
      <c r="E362" s="7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72"/>
      <c r="AC362" s="72"/>
      <c r="AD362" s="32"/>
      <c r="AE362" s="32"/>
      <c r="AF362" s="32"/>
      <c r="AG362" s="32"/>
      <c r="AH362" s="32"/>
      <c r="AI362" s="72"/>
      <c r="AJ362" s="72"/>
      <c r="AK362" s="72"/>
      <c r="AL362" s="72"/>
      <c r="AM362" s="72"/>
      <c r="AN362" s="72"/>
      <c r="AO362" s="72"/>
      <c r="AP362" s="72"/>
      <c r="AQ362" s="72"/>
      <c r="AR362" s="72"/>
      <c r="AS362" s="72"/>
      <c r="AT362" s="72"/>
      <c r="AU362" s="72"/>
    </row>
    <row r="363" customFormat="false" ht="15.75" hidden="false" customHeight="false" outlineLevel="0" collapsed="false">
      <c r="A363" s="73"/>
      <c r="B363" s="72"/>
      <c r="C363" s="72"/>
      <c r="D363" s="72"/>
      <c r="E363" s="7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72"/>
      <c r="AC363" s="72"/>
      <c r="AD363" s="32"/>
      <c r="AE363" s="32"/>
      <c r="AF363" s="32"/>
      <c r="AG363" s="32"/>
      <c r="AH363" s="32"/>
      <c r="AI363" s="72"/>
      <c r="AJ363" s="72"/>
      <c r="AK363" s="72"/>
      <c r="AL363" s="72"/>
      <c r="AM363" s="72"/>
      <c r="AN363" s="72"/>
      <c r="AO363" s="72"/>
      <c r="AP363" s="72"/>
      <c r="AQ363" s="72"/>
      <c r="AR363" s="72"/>
      <c r="AS363" s="72"/>
      <c r="AT363" s="72"/>
      <c r="AU363" s="72"/>
    </row>
    <row r="364" customFormat="false" ht="15.75" hidden="false" customHeight="false" outlineLevel="0" collapsed="false">
      <c r="A364" s="73"/>
      <c r="B364" s="72"/>
      <c r="C364" s="72"/>
      <c r="D364" s="72"/>
      <c r="E364" s="7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72"/>
      <c r="AC364" s="72"/>
      <c r="AD364" s="32"/>
      <c r="AE364" s="32"/>
      <c r="AF364" s="32"/>
      <c r="AG364" s="32"/>
      <c r="AH364" s="32"/>
      <c r="AI364" s="72"/>
      <c r="AJ364" s="72"/>
      <c r="AK364" s="72"/>
      <c r="AL364" s="72"/>
      <c r="AM364" s="72"/>
      <c r="AN364" s="72"/>
      <c r="AO364" s="72"/>
      <c r="AP364" s="72"/>
      <c r="AQ364" s="72"/>
      <c r="AR364" s="72"/>
      <c r="AS364" s="72"/>
      <c r="AT364" s="72"/>
      <c r="AU364" s="72"/>
    </row>
    <row r="365" customFormat="false" ht="15.75" hidden="false" customHeight="false" outlineLevel="0" collapsed="false">
      <c r="A365" s="73"/>
      <c r="B365" s="72"/>
      <c r="C365" s="72"/>
      <c r="D365" s="72"/>
      <c r="E365" s="7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72"/>
      <c r="AC365" s="72"/>
      <c r="AD365" s="32"/>
      <c r="AE365" s="32"/>
      <c r="AF365" s="32"/>
      <c r="AG365" s="32"/>
      <c r="AH365" s="32"/>
      <c r="AI365" s="72"/>
      <c r="AJ365" s="72"/>
      <c r="AK365" s="72"/>
      <c r="AL365" s="72"/>
      <c r="AM365" s="72"/>
      <c r="AN365" s="72"/>
      <c r="AO365" s="72"/>
      <c r="AP365" s="72"/>
      <c r="AQ365" s="72"/>
      <c r="AR365" s="72"/>
      <c r="AS365" s="72"/>
      <c r="AT365" s="72"/>
      <c r="AU365" s="72"/>
    </row>
    <row r="366" customFormat="false" ht="15.75" hidden="false" customHeight="false" outlineLevel="0" collapsed="false">
      <c r="A366" s="73"/>
      <c r="B366" s="72"/>
      <c r="C366" s="72"/>
      <c r="D366" s="72"/>
      <c r="E366" s="7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72"/>
      <c r="AC366" s="72"/>
      <c r="AD366" s="32"/>
      <c r="AE366" s="32"/>
      <c r="AF366" s="32"/>
      <c r="AG366" s="32"/>
      <c r="AH366" s="32"/>
      <c r="AI366" s="72"/>
      <c r="AJ366" s="72"/>
      <c r="AK366" s="72"/>
      <c r="AL366" s="72"/>
      <c r="AM366" s="72"/>
      <c r="AN366" s="72"/>
      <c r="AO366" s="72"/>
      <c r="AP366" s="72"/>
      <c r="AQ366" s="72"/>
      <c r="AR366" s="72"/>
      <c r="AS366" s="72"/>
      <c r="AT366" s="72"/>
      <c r="AU366" s="72"/>
    </row>
    <row r="367" customFormat="false" ht="15.75" hidden="false" customHeight="false" outlineLevel="0" collapsed="false">
      <c r="A367" s="73"/>
      <c r="B367" s="72"/>
      <c r="C367" s="72"/>
      <c r="D367" s="72"/>
      <c r="E367" s="7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72"/>
      <c r="AC367" s="72"/>
      <c r="AD367" s="32"/>
      <c r="AE367" s="32"/>
      <c r="AF367" s="32"/>
      <c r="AG367" s="32"/>
      <c r="AH367" s="32"/>
      <c r="AI367" s="72"/>
      <c r="AJ367" s="72"/>
      <c r="AK367" s="72"/>
      <c r="AL367" s="72"/>
      <c r="AM367" s="72"/>
      <c r="AN367" s="72"/>
      <c r="AO367" s="72"/>
      <c r="AP367" s="72"/>
      <c r="AQ367" s="72"/>
      <c r="AR367" s="72"/>
      <c r="AS367" s="72"/>
      <c r="AT367" s="72"/>
      <c r="AU367" s="72"/>
    </row>
    <row r="368" customFormat="false" ht="15.75" hidden="false" customHeight="false" outlineLevel="0" collapsed="false">
      <c r="A368" s="73"/>
      <c r="B368" s="72"/>
      <c r="C368" s="72"/>
      <c r="D368" s="72"/>
      <c r="E368" s="7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72"/>
      <c r="AC368" s="72"/>
      <c r="AD368" s="32"/>
      <c r="AE368" s="32"/>
      <c r="AF368" s="32"/>
      <c r="AG368" s="32"/>
      <c r="AH368" s="32"/>
      <c r="AI368" s="72"/>
      <c r="AJ368" s="72"/>
      <c r="AK368" s="72"/>
      <c r="AL368" s="72"/>
      <c r="AM368" s="72"/>
      <c r="AN368" s="72"/>
      <c r="AO368" s="72"/>
      <c r="AP368" s="72"/>
      <c r="AQ368" s="72"/>
      <c r="AR368" s="72"/>
      <c r="AS368" s="72"/>
      <c r="AT368" s="72"/>
      <c r="AU368" s="72"/>
    </row>
    <row r="369" customFormat="false" ht="15.75" hidden="false" customHeight="false" outlineLevel="0" collapsed="false">
      <c r="A369" s="73"/>
      <c r="B369" s="72"/>
      <c r="C369" s="72"/>
      <c r="D369" s="72"/>
      <c r="E369" s="7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72"/>
      <c r="AC369" s="72"/>
      <c r="AD369" s="32"/>
      <c r="AE369" s="32"/>
      <c r="AF369" s="32"/>
      <c r="AG369" s="32"/>
      <c r="AH369" s="32"/>
      <c r="AI369" s="72"/>
      <c r="AJ369" s="72"/>
      <c r="AK369" s="72"/>
      <c r="AL369" s="72"/>
      <c r="AM369" s="72"/>
      <c r="AN369" s="72"/>
      <c r="AO369" s="72"/>
      <c r="AP369" s="72"/>
      <c r="AQ369" s="72"/>
      <c r="AR369" s="72"/>
      <c r="AS369" s="72"/>
      <c r="AT369" s="72"/>
      <c r="AU369" s="72"/>
    </row>
    <row r="370" customFormat="false" ht="15.75" hidden="false" customHeight="false" outlineLevel="0" collapsed="false">
      <c r="A370" s="73"/>
      <c r="B370" s="72"/>
      <c r="C370" s="72"/>
      <c r="D370" s="72"/>
      <c r="E370" s="7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72"/>
      <c r="AC370" s="72"/>
      <c r="AD370" s="32"/>
      <c r="AE370" s="32"/>
      <c r="AF370" s="32"/>
      <c r="AG370" s="32"/>
      <c r="AH370" s="32"/>
      <c r="AI370" s="72"/>
      <c r="AJ370" s="72"/>
      <c r="AK370" s="72"/>
      <c r="AL370" s="72"/>
      <c r="AM370" s="72"/>
      <c r="AN370" s="72"/>
      <c r="AO370" s="72"/>
      <c r="AP370" s="72"/>
      <c r="AQ370" s="72"/>
      <c r="AR370" s="72"/>
      <c r="AS370" s="72"/>
      <c r="AT370" s="72"/>
      <c r="AU370" s="72"/>
    </row>
    <row r="371" customFormat="false" ht="15.75" hidden="false" customHeight="false" outlineLevel="0" collapsed="false">
      <c r="A371" s="73"/>
      <c r="B371" s="72"/>
      <c r="C371" s="72"/>
      <c r="D371" s="72"/>
      <c r="E371" s="7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72"/>
      <c r="AC371" s="72"/>
      <c r="AD371" s="32"/>
      <c r="AE371" s="32"/>
      <c r="AF371" s="32"/>
      <c r="AG371" s="32"/>
      <c r="AH371" s="32"/>
      <c r="AI371" s="72"/>
      <c r="AJ371" s="72"/>
      <c r="AK371" s="72"/>
      <c r="AL371" s="72"/>
      <c r="AM371" s="72"/>
      <c r="AN371" s="72"/>
      <c r="AO371" s="72"/>
      <c r="AP371" s="72"/>
      <c r="AQ371" s="72"/>
      <c r="AR371" s="72"/>
      <c r="AS371" s="72"/>
      <c r="AT371" s="72"/>
      <c r="AU371" s="72"/>
    </row>
    <row r="372" customFormat="false" ht="15.75" hidden="false" customHeight="false" outlineLevel="0" collapsed="false">
      <c r="A372" s="73"/>
      <c r="B372" s="72"/>
      <c r="C372" s="72"/>
      <c r="D372" s="72"/>
      <c r="E372" s="7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72"/>
      <c r="AC372" s="72"/>
      <c r="AD372" s="32"/>
      <c r="AE372" s="32"/>
      <c r="AF372" s="32"/>
      <c r="AG372" s="32"/>
      <c r="AH372" s="32"/>
      <c r="AI372" s="72"/>
      <c r="AJ372" s="72"/>
      <c r="AK372" s="72"/>
      <c r="AL372" s="72"/>
      <c r="AM372" s="72"/>
      <c r="AN372" s="72"/>
      <c r="AO372" s="72"/>
      <c r="AP372" s="72"/>
      <c r="AQ372" s="72"/>
      <c r="AR372" s="72"/>
      <c r="AS372" s="72"/>
      <c r="AT372" s="72"/>
      <c r="AU372" s="72"/>
    </row>
    <row r="373" customFormat="false" ht="15.75" hidden="false" customHeight="false" outlineLevel="0" collapsed="false">
      <c r="A373" s="73"/>
      <c r="B373" s="72"/>
      <c r="C373" s="72"/>
      <c r="D373" s="72"/>
      <c r="E373" s="7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72"/>
      <c r="AC373" s="72"/>
      <c r="AD373" s="32"/>
      <c r="AE373" s="32"/>
      <c r="AF373" s="32"/>
      <c r="AG373" s="32"/>
      <c r="AH373" s="32"/>
      <c r="AI373" s="72"/>
      <c r="AJ373" s="72"/>
      <c r="AK373" s="72"/>
      <c r="AL373" s="72"/>
      <c r="AM373" s="72"/>
      <c r="AN373" s="72"/>
      <c r="AO373" s="72"/>
      <c r="AP373" s="72"/>
      <c r="AQ373" s="72"/>
      <c r="AR373" s="72"/>
      <c r="AS373" s="72"/>
      <c r="AT373" s="72"/>
      <c r="AU373" s="72"/>
    </row>
    <row r="374" customFormat="false" ht="15.75" hidden="false" customHeight="false" outlineLevel="0" collapsed="false">
      <c r="A374" s="73"/>
      <c r="B374" s="72"/>
      <c r="C374" s="72"/>
      <c r="D374" s="72"/>
      <c r="E374" s="7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72"/>
      <c r="AC374" s="72"/>
      <c r="AD374" s="32"/>
      <c r="AE374" s="32"/>
      <c r="AF374" s="32"/>
      <c r="AG374" s="32"/>
      <c r="AH374" s="32"/>
      <c r="AI374" s="72"/>
      <c r="AJ374" s="72"/>
      <c r="AK374" s="72"/>
      <c r="AL374" s="72"/>
      <c r="AM374" s="72"/>
      <c r="AN374" s="72"/>
      <c r="AO374" s="72"/>
      <c r="AP374" s="72"/>
      <c r="AQ374" s="72"/>
      <c r="AR374" s="72"/>
      <c r="AS374" s="72"/>
      <c r="AT374" s="72"/>
      <c r="AU374" s="72"/>
    </row>
    <row r="375" customFormat="false" ht="15.75" hidden="false" customHeight="false" outlineLevel="0" collapsed="false">
      <c r="A375" s="73"/>
      <c r="B375" s="72"/>
      <c r="C375" s="72"/>
      <c r="D375" s="72"/>
      <c r="E375" s="7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72"/>
      <c r="AC375" s="72"/>
      <c r="AD375" s="32"/>
      <c r="AE375" s="32"/>
      <c r="AF375" s="32"/>
      <c r="AG375" s="32"/>
      <c r="AH375" s="32"/>
      <c r="AI375" s="72"/>
      <c r="AJ375" s="72"/>
      <c r="AK375" s="72"/>
      <c r="AL375" s="72"/>
      <c r="AM375" s="72"/>
      <c r="AN375" s="72"/>
      <c r="AO375" s="72"/>
      <c r="AP375" s="72"/>
      <c r="AQ375" s="72"/>
      <c r="AR375" s="72"/>
      <c r="AS375" s="72"/>
      <c r="AT375" s="72"/>
      <c r="AU375" s="72"/>
    </row>
    <row r="376" customFormat="false" ht="15.75" hidden="false" customHeight="false" outlineLevel="0" collapsed="false">
      <c r="A376" s="73"/>
      <c r="B376" s="72"/>
      <c r="C376" s="72"/>
      <c r="D376" s="72"/>
      <c r="E376" s="7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72"/>
      <c r="AC376" s="72"/>
      <c r="AD376" s="32"/>
      <c r="AE376" s="32"/>
      <c r="AF376" s="32"/>
      <c r="AG376" s="32"/>
      <c r="AH376" s="32"/>
      <c r="AI376" s="72"/>
      <c r="AJ376" s="72"/>
      <c r="AK376" s="72"/>
      <c r="AL376" s="72"/>
      <c r="AM376" s="72"/>
      <c r="AN376" s="72"/>
      <c r="AO376" s="72"/>
      <c r="AP376" s="72"/>
      <c r="AQ376" s="72"/>
      <c r="AR376" s="72"/>
      <c r="AS376" s="72"/>
      <c r="AT376" s="72"/>
      <c r="AU376" s="72"/>
    </row>
    <row r="377" customFormat="false" ht="15.75" hidden="false" customHeight="false" outlineLevel="0" collapsed="false">
      <c r="A377" s="73"/>
      <c r="B377" s="72"/>
      <c r="C377" s="72"/>
      <c r="D377" s="72"/>
      <c r="E377" s="7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72"/>
      <c r="AC377" s="72"/>
      <c r="AD377" s="32"/>
      <c r="AE377" s="32"/>
      <c r="AF377" s="32"/>
      <c r="AG377" s="32"/>
      <c r="AH377" s="32"/>
      <c r="AI377" s="72"/>
      <c r="AJ377" s="72"/>
      <c r="AK377" s="72"/>
      <c r="AL377" s="72"/>
      <c r="AM377" s="72"/>
      <c r="AN377" s="72"/>
      <c r="AO377" s="72"/>
      <c r="AP377" s="72"/>
      <c r="AQ377" s="72"/>
      <c r="AR377" s="72"/>
      <c r="AS377" s="72"/>
      <c r="AT377" s="72"/>
      <c r="AU377" s="72"/>
    </row>
    <row r="378" customFormat="false" ht="15.75" hidden="false" customHeight="false" outlineLevel="0" collapsed="false">
      <c r="A378" s="73"/>
      <c r="B378" s="72"/>
      <c r="C378" s="72"/>
      <c r="D378" s="72"/>
      <c r="E378" s="7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72"/>
      <c r="AC378" s="72"/>
      <c r="AD378" s="32"/>
      <c r="AE378" s="32"/>
      <c r="AF378" s="32"/>
      <c r="AG378" s="32"/>
      <c r="AH378" s="32"/>
      <c r="AI378" s="72"/>
      <c r="AJ378" s="72"/>
      <c r="AK378" s="72"/>
      <c r="AL378" s="72"/>
      <c r="AM378" s="72"/>
      <c r="AN378" s="72"/>
      <c r="AO378" s="72"/>
      <c r="AP378" s="72"/>
      <c r="AQ378" s="72"/>
      <c r="AR378" s="72"/>
      <c r="AS378" s="72"/>
      <c r="AT378" s="72"/>
      <c r="AU378" s="72"/>
    </row>
    <row r="379" customFormat="false" ht="15.75" hidden="false" customHeight="false" outlineLevel="0" collapsed="false">
      <c r="A379" s="73"/>
      <c r="B379" s="72"/>
      <c r="C379" s="72"/>
      <c r="D379" s="72"/>
      <c r="E379" s="7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72"/>
      <c r="AC379" s="72"/>
      <c r="AD379" s="32"/>
      <c r="AE379" s="32"/>
      <c r="AF379" s="32"/>
      <c r="AG379" s="32"/>
      <c r="AH379" s="32"/>
      <c r="AI379" s="72"/>
      <c r="AJ379" s="72"/>
      <c r="AK379" s="72"/>
      <c r="AL379" s="72"/>
      <c r="AM379" s="72"/>
      <c r="AN379" s="72"/>
      <c r="AO379" s="72"/>
      <c r="AP379" s="72"/>
      <c r="AQ379" s="72"/>
      <c r="AR379" s="72"/>
      <c r="AS379" s="72"/>
      <c r="AT379" s="72"/>
      <c r="AU379" s="72"/>
    </row>
    <row r="380" customFormat="false" ht="15.75" hidden="false" customHeight="false" outlineLevel="0" collapsed="false">
      <c r="A380" s="73"/>
      <c r="B380" s="72"/>
      <c r="C380" s="72"/>
      <c r="D380" s="72"/>
      <c r="E380" s="7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72"/>
      <c r="AC380" s="72"/>
      <c r="AD380" s="32"/>
      <c r="AE380" s="32"/>
      <c r="AF380" s="32"/>
      <c r="AG380" s="32"/>
      <c r="AH380" s="32"/>
      <c r="AI380" s="72"/>
      <c r="AJ380" s="72"/>
      <c r="AK380" s="72"/>
      <c r="AL380" s="72"/>
      <c r="AM380" s="72"/>
      <c r="AN380" s="72"/>
      <c r="AO380" s="72"/>
      <c r="AP380" s="72"/>
      <c r="AQ380" s="72"/>
      <c r="AR380" s="72"/>
      <c r="AS380" s="72"/>
      <c r="AT380" s="72"/>
      <c r="AU380" s="72"/>
    </row>
    <row r="381" customFormat="false" ht="15.75" hidden="false" customHeight="false" outlineLevel="0" collapsed="false">
      <c r="A381" s="73"/>
      <c r="B381" s="72"/>
      <c r="C381" s="72"/>
      <c r="D381" s="72"/>
      <c r="E381" s="7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72"/>
      <c r="AC381" s="72"/>
      <c r="AD381" s="32"/>
      <c r="AE381" s="32"/>
      <c r="AF381" s="32"/>
      <c r="AG381" s="32"/>
      <c r="AH381" s="32"/>
      <c r="AI381" s="72"/>
      <c r="AJ381" s="72"/>
      <c r="AK381" s="72"/>
      <c r="AL381" s="72"/>
      <c r="AM381" s="72"/>
      <c r="AN381" s="72"/>
      <c r="AO381" s="72"/>
      <c r="AP381" s="72"/>
      <c r="AQ381" s="72"/>
      <c r="AR381" s="72"/>
      <c r="AS381" s="72"/>
      <c r="AT381" s="72"/>
      <c r="AU381" s="72"/>
    </row>
    <row r="382" customFormat="false" ht="15.75" hidden="false" customHeight="false" outlineLevel="0" collapsed="false">
      <c r="A382" s="73"/>
      <c r="B382" s="72"/>
      <c r="C382" s="72"/>
      <c r="D382" s="72"/>
      <c r="E382" s="7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72"/>
      <c r="AC382" s="72"/>
      <c r="AD382" s="32"/>
      <c r="AE382" s="32"/>
      <c r="AF382" s="32"/>
      <c r="AG382" s="32"/>
      <c r="AH382" s="32"/>
      <c r="AI382" s="72"/>
      <c r="AJ382" s="72"/>
      <c r="AK382" s="72"/>
      <c r="AL382" s="72"/>
      <c r="AM382" s="72"/>
      <c r="AN382" s="72"/>
      <c r="AO382" s="72"/>
      <c r="AP382" s="72"/>
      <c r="AQ382" s="72"/>
      <c r="AR382" s="72"/>
      <c r="AS382" s="72"/>
      <c r="AT382" s="72"/>
      <c r="AU382" s="72"/>
    </row>
    <row r="383" customFormat="false" ht="15.75" hidden="false" customHeight="false" outlineLevel="0" collapsed="false">
      <c r="A383" s="73"/>
      <c r="B383" s="72"/>
      <c r="C383" s="72"/>
      <c r="D383" s="72"/>
      <c r="E383" s="7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72"/>
      <c r="AC383" s="72"/>
      <c r="AD383" s="32"/>
      <c r="AE383" s="32"/>
      <c r="AF383" s="32"/>
      <c r="AG383" s="32"/>
      <c r="AH383" s="32"/>
      <c r="AI383" s="72"/>
      <c r="AJ383" s="72"/>
      <c r="AK383" s="72"/>
      <c r="AL383" s="72"/>
      <c r="AM383" s="72"/>
      <c r="AN383" s="72"/>
      <c r="AO383" s="72"/>
      <c r="AP383" s="72"/>
      <c r="AQ383" s="72"/>
      <c r="AR383" s="72"/>
      <c r="AS383" s="72"/>
      <c r="AT383" s="72"/>
      <c r="AU383" s="72"/>
    </row>
    <row r="384" customFormat="false" ht="15.75" hidden="false" customHeight="false" outlineLevel="0" collapsed="false">
      <c r="A384" s="73"/>
      <c r="B384" s="72"/>
      <c r="C384" s="72"/>
      <c r="D384" s="72"/>
      <c r="E384" s="7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72"/>
      <c r="AC384" s="72"/>
      <c r="AD384" s="32"/>
      <c r="AE384" s="32"/>
      <c r="AF384" s="32"/>
      <c r="AG384" s="32"/>
      <c r="AH384" s="32"/>
      <c r="AI384" s="72"/>
      <c r="AJ384" s="72"/>
      <c r="AK384" s="72"/>
      <c r="AL384" s="72"/>
      <c r="AM384" s="72"/>
      <c r="AN384" s="72"/>
      <c r="AO384" s="72"/>
      <c r="AP384" s="72"/>
      <c r="AQ384" s="72"/>
      <c r="AR384" s="72"/>
      <c r="AS384" s="72"/>
      <c r="AT384" s="72"/>
      <c r="AU384" s="72"/>
    </row>
    <row r="385" customFormat="false" ht="15.75" hidden="false" customHeight="false" outlineLevel="0" collapsed="false">
      <c r="A385" s="73"/>
      <c r="B385" s="72"/>
      <c r="C385" s="72"/>
      <c r="D385" s="72"/>
      <c r="E385" s="7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72"/>
      <c r="AC385" s="72"/>
      <c r="AD385" s="32"/>
      <c r="AE385" s="32"/>
      <c r="AF385" s="32"/>
      <c r="AG385" s="32"/>
      <c r="AH385" s="32"/>
      <c r="AI385" s="72"/>
      <c r="AJ385" s="72"/>
      <c r="AK385" s="72"/>
      <c r="AL385" s="72"/>
      <c r="AM385" s="72"/>
      <c r="AN385" s="72"/>
      <c r="AO385" s="72"/>
      <c r="AP385" s="72"/>
      <c r="AQ385" s="72"/>
      <c r="AR385" s="72"/>
      <c r="AS385" s="72"/>
      <c r="AT385" s="72"/>
      <c r="AU385" s="72"/>
    </row>
    <row r="386" customFormat="false" ht="15.75" hidden="false" customHeight="false" outlineLevel="0" collapsed="false">
      <c r="A386" s="73"/>
      <c r="B386" s="72"/>
      <c r="C386" s="72"/>
      <c r="D386" s="72"/>
      <c r="E386" s="7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72"/>
      <c r="AC386" s="72"/>
      <c r="AD386" s="32"/>
      <c r="AE386" s="32"/>
      <c r="AF386" s="32"/>
      <c r="AG386" s="32"/>
      <c r="AH386" s="32"/>
      <c r="AI386" s="72"/>
      <c r="AJ386" s="72"/>
      <c r="AK386" s="72"/>
      <c r="AL386" s="72"/>
      <c r="AM386" s="72"/>
      <c r="AN386" s="72"/>
      <c r="AO386" s="72"/>
      <c r="AP386" s="72"/>
      <c r="AQ386" s="72"/>
      <c r="AR386" s="72"/>
      <c r="AS386" s="72"/>
      <c r="AT386" s="72"/>
      <c r="AU386" s="72"/>
    </row>
    <row r="387" customFormat="false" ht="15.75" hidden="false" customHeight="false" outlineLevel="0" collapsed="false">
      <c r="A387" s="73"/>
      <c r="B387" s="72"/>
      <c r="C387" s="72"/>
      <c r="D387" s="72"/>
      <c r="E387" s="7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72"/>
      <c r="AC387" s="72"/>
      <c r="AD387" s="32"/>
      <c r="AE387" s="32"/>
      <c r="AF387" s="32"/>
      <c r="AG387" s="32"/>
      <c r="AH387" s="32"/>
      <c r="AI387" s="72"/>
      <c r="AJ387" s="72"/>
      <c r="AK387" s="72"/>
      <c r="AL387" s="72"/>
      <c r="AM387" s="72"/>
      <c r="AN387" s="72"/>
      <c r="AO387" s="72"/>
      <c r="AP387" s="72"/>
      <c r="AQ387" s="72"/>
      <c r="AR387" s="72"/>
      <c r="AS387" s="72"/>
      <c r="AT387" s="72"/>
      <c r="AU387" s="72"/>
    </row>
    <row r="388" customFormat="false" ht="15.75" hidden="false" customHeight="false" outlineLevel="0" collapsed="false">
      <c r="A388" s="73"/>
      <c r="B388" s="72"/>
      <c r="C388" s="72"/>
      <c r="D388" s="72"/>
      <c r="E388" s="7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72"/>
      <c r="AC388" s="72"/>
      <c r="AD388" s="32"/>
      <c r="AE388" s="32"/>
      <c r="AF388" s="32"/>
      <c r="AG388" s="32"/>
      <c r="AH388" s="32"/>
      <c r="AI388" s="72"/>
      <c r="AJ388" s="72"/>
      <c r="AK388" s="72"/>
      <c r="AL388" s="72"/>
      <c r="AM388" s="72"/>
      <c r="AN388" s="72"/>
      <c r="AO388" s="72"/>
      <c r="AP388" s="72"/>
      <c r="AQ388" s="72"/>
      <c r="AR388" s="72"/>
      <c r="AS388" s="72"/>
      <c r="AT388" s="72"/>
      <c r="AU388" s="72"/>
    </row>
    <row r="389" customFormat="false" ht="15.75" hidden="false" customHeight="false" outlineLevel="0" collapsed="false">
      <c r="A389" s="73"/>
      <c r="B389" s="72"/>
      <c r="C389" s="72"/>
      <c r="D389" s="72"/>
      <c r="E389" s="7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72"/>
      <c r="AC389" s="72"/>
      <c r="AD389" s="32"/>
      <c r="AE389" s="32"/>
      <c r="AF389" s="32"/>
      <c r="AG389" s="32"/>
      <c r="AH389" s="32"/>
      <c r="AI389" s="72"/>
      <c r="AJ389" s="72"/>
      <c r="AK389" s="72"/>
      <c r="AL389" s="72"/>
      <c r="AM389" s="72"/>
      <c r="AN389" s="72"/>
      <c r="AO389" s="72"/>
      <c r="AP389" s="72"/>
      <c r="AQ389" s="72"/>
      <c r="AR389" s="72"/>
      <c r="AS389" s="72"/>
      <c r="AT389" s="72"/>
      <c r="AU389" s="72"/>
    </row>
    <row r="390" customFormat="false" ht="15.75" hidden="false" customHeight="false" outlineLevel="0" collapsed="false">
      <c r="A390" s="73"/>
      <c r="B390" s="72"/>
      <c r="C390" s="72"/>
      <c r="D390" s="72"/>
      <c r="E390" s="7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72"/>
      <c r="AC390" s="72"/>
      <c r="AD390" s="32"/>
      <c r="AE390" s="32"/>
      <c r="AF390" s="32"/>
      <c r="AG390" s="32"/>
      <c r="AH390" s="32"/>
      <c r="AI390" s="72"/>
      <c r="AJ390" s="72"/>
      <c r="AK390" s="72"/>
      <c r="AL390" s="72"/>
      <c r="AM390" s="72"/>
      <c r="AN390" s="72"/>
      <c r="AO390" s="72"/>
      <c r="AP390" s="72"/>
      <c r="AQ390" s="72"/>
      <c r="AR390" s="72"/>
      <c r="AS390" s="72"/>
      <c r="AT390" s="72"/>
      <c r="AU390" s="72"/>
    </row>
    <row r="391" customFormat="false" ht="15.75" hidden="false" customHeight="false" outlineLevel="0" collapsed="false">
      <c r="A391" s="73"/>
      <c r="B391" s="72"/>
      <c r="C391" s="72"/>
      <c r="D391" s="72"/>
      <c r="E391" s="7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72"/>
      <c r="AC391" s="72"/>
      <c r="AD391" s="32"/>
      <c r="AE391" s="32"/>
      <c r="AF391" s="32"/>
      <c r="AG391" s="32"/>
      <c r="AH391" s="32"/>
      <c r="AI391" s="72"/>
      <c r="AJ391" s="72"/>
      <c r="AK391" s="72"/>
      <c r="AL391" s="72"/>
      <c r="AM391" s="72"/>
      <c r="AN391" s="72"/>
      <c r="AO391" s="72"/>
      <c r="AP391" s="72"/>
      <c r="AQ391" s="72"/>
      <c r="AR391" s="72"/>
      <c r="AS391" s="72"/>
      <c r="AT391" s="72"/>
      <c r="AU391" s="72"/>
    </row>
    <row r="392" customFormat="false" ht="15.75" hidden="false" customHeight="false" outlineLevel="0" collapsed="false">
      <c r="A392" s="73"/>
      <c r="B392" s="72"/>
      <c r="C392" s="72"/>
      <c r="D392" s="72"/>
      <c r="E392" s="7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72"/>
      <c r="AC392" s="72"/>
      <c r="AD392" s="32"/>
      <c r="AE392" s="32"/>
      <c r="AF392" s="32"/>
      <c r="AG392" s="32"/>
      <c r="AH392" s="32"/>
      <c r="AI392" s="72"/>
      <c r="AJ392" s="72"/>
      <c r="AK392" s="72"/>
      <c r="AL392" s="72"/>
      <c r="AM392" s="72"/>
      <c r="AN392" s="72"/>
      <c r="AO392" s="72"/>
      <c r="AP392" s="72"/>
      <c r="AQ392" s="72"/>
      <c r="AR392" s="72"/>
      <c r="AS392" s="72"/>
      <c r="AT392" s="72"/>
      <c r="AU392" s="72"/>
    </row>
    <row r="393" customFormat="false" ht="15.75" hidden="false" customHeight="false" outlineLevel="0" collapsed="false">
      <c r="A393" s="73"/>
      <c r="B393" s="72"/>
      <c r="C393" s="72"/>
      <c r="D393" s="72"/>
      <c r="E393" s="7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72"/>
      <c r="AC393" s="72"/>
      <c r="AD393" s="32"/>
      <c r="AE393" s="32"/>
      <c r="AF393" s="32"/>
      <c r="AG393" s="32"/>
      <c r="AH393" s="32"/>
      <c r="AI393" s="72"/>
      <c r="AJ393" s="72"/>
      <c r="AK393" s="72"/>
      <c r="AL393" s="72"/>
      <c r="AM393" s="72"/>
      <c r="AN393" s="72"/>
      <c r="AO393" s="72"/>
      <c r="AP393" s="72"/>
      <c r="AQ393" s="72"/>
      <c r="AR393" s="72"/>
      <c r="AS393" s="72"/>
      <c r="AT393" s="72"/>
      <c r="AU393" s="72"/>
    </row>
    <row r="394" customFormat="false" ht="15.75" hidden="false" customHeight="false" outlineLevel="0" collapsed="false">
      <c r="A394" s="73"/>
      <c r="B394" s="72"/>
      <c r="C394" s="72"/>
      <c r="D394" s="72"/>
      <c r="E394" s="7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72"/>
      <c r="AC394" s="72"/>
      <c r="AD394" s="32"/>
      <c r="AE394" s="32"/>
      <c r="AF394" s="32"/>
      <c r="AG394" s="32"/>
      <c r="AH394" s="32"/>
      <c r="AI394" s="72"/>
      <c r="AJ394" s="72"/>
      <c r="AK394" s="72"/>
      <c r="AL394" s="72"/>
      <c r="AM394" s="72"/>
      <c r="AN394" s="72"/>
      <c r="AO394" s="72"/>
      <c r="AP394" s="72"/>
      <c r="AQ394" s="72"/>
      <c r="AR394" s="72"/>
      <c r="AS394" s="72"/>
      <c r="AT394" s="72"/>
      <c r="AU394" s="72"/>
    </row>
    <row r="395" customFormat="false" ht="15.75" hidden="false" customHeight="false" outlineLevel="0" collapsed="false">
      <c r="A395" s="73"/>
      <c r="B395" s="72"/>
      <c r="C395" s="72"/>
      <c r="D395" s="72"/>
      <c r="E395" s="7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72"/>
      <c r="AC395" s="72"/>
      <c r="AD395" s="32"/>
      <c r="AE395" s="32"/>
      <c r="AF395" s="32"/>
      <c r="AG395" s="32"/>
      <c r="AH395" s="32"/>
      <c r="AI395" s="72"/>
      <c r="AJ395" s="72"/>
      <c r="AK395" s="72"/>
      <c r="AL395" s="72"/>
      <c r="AM395" s="72"/>
      <c r="AN395" s="72"/>
      <c r="AO395" s="72"/>
      <c r="AP395" s="72"/>
      <c r="AQ395" s="72"/>
      <c r="AR395" s="72"/>
      <c r="AS395" s="72"/>
      <c r="AT395" s="72"/>
      <c r="AU395" s="72"/>
    </row>
    <row r="396" customFormat="false" ht="15.75" hidden="false" customHeight="false" outlineLevel="0" collapsed="false">
      <c r="A396" s="73"/>
      <c r="B396" s="72"/>
      <c r="C396" s="72"/>
      <c r="D396" s="72"/>
      <c r="E396" s="7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72"/>
      <c r="AC396" s="72"/>
      <c r="AD396" s="32"/>
      <c r="AE396" s="32"/>
      <c r="AF396" s="32"/>
      <c r="AG396" s="32"/>
      <c r="AH396" s="32"/>
      <c r="AI396" s="72"/>
      <c r="AJ396" s="72"/>
      <c r="AK396" s="72"/>
      <c r="AL396" s="72"/>
      <c r="AM396" s="72"/>
      <c r="AN396" s="72"/>
      <c r="AO396" s="72"/>
      <c r="AP396" s="72"/>
      <c r="AQ396" s="72"/>
      <c r="AR396" s="72"/>
      <c r="AS396" s="72"/>
      <c r="AT396" s="72"/>
      <c r="AU396" s="72"/>
    </row>
    <row r="397" customFormat="false" ht="15.75" hidden="false" customHeight="false" outlineLevel="0" collapsed="false">
      <c r="A397" s="73"/>
      <c r="B397" s="72"/>
      <c r="C397" s="72"/>
      <c r="D397" s="72"/>
      <c r="E397" s="7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72"/>
      <c r="AC397" s="72"/>
      <c r="AD397" s="32"/>
      <c r="AE397" s="32"/>
      <c r="AF397" s="32"/>
      <c r="AG397" s="32"/>
      <c r="AH397" s="32"/>
      <c r="AI397" s="72"/>
      <c r="AJ397" s="72"/>
      <c r="AK397" s="72"/>
      <c r="AL397" s="72"/>
      <c r="AM397" s="72"/>
      <c r="AN397" s="72"/>
      <c r="AO397" s="72"/>
      <c r="AP397" s="72"/>
      <c r="AQ397" s="72"/>
      <c r="AR397" s="72"/>
      <c r="AS397" s="72"/>
      <c r="AT397" s="72"/>
      <c r="AU397" s="72"/>
    </row>
    <row r="398" customFormat="false" ht="15.75" hidden="false" customHeight="false" outlineLevel="0" collapsed="false">
      <c r="A398" s="73"/>
      <c r="B398" s="72"/>
      <c r="C398" s="72"/>
      <c r="D398" s="72"/>
      <c r="E398" s="7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72"/>
      <c r="AC398" s="72"/>
      <c r="AD398" s="32"/>
      <c r="AE398" s="32"/>
      <c r="AF398" s="32"/>
      <c r="AG398" s="32"/>
      <c r="AH398" s="32"/>
      <c r="AI398" s="72"/>
      <c r="AJ398" s="72"/>
      <c r="AK398" s="72"/>
      <c r="AL398" s="72"/>
      <c r="AM398" s="72"/>
      <c r="AN398" s="72"/>
      <c r="AO398" s="72"/>
      <c r="AP398" s="72"/>
      <c r="AQ398" s="72"/>
      <c r="AR398" s="72"/>
      <c r="AS398" s="72"/>
      <c r="AT398" s="72"/>
      <c r="AU398" s="72"/>
    </row>
    <row r="399" customFormat="false" ht="15.75" hidden="false" customHeight="false" outlineLevel="0" collapsed="false">
      <c r="A399" s="73"/>
      <c r="B399" s="72"/>
      <c r="C399" s="72"/>
      <c r="D399" s="72"/>
      <c r="E399" s="7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72"/>
      <c r="AC399" s="72"/>
      <c r="AD399" s="32"/>
      <c r="AE399" s="32"/>
      <c r="AF399" s="32"/>
      <c r="AG399" s="32"/>
      <c r="AH399" s="32"/>
      <c r="AI399" s="72"/>
      <c r="AJ399" s="72"/>
      <c r="AK399" s="72"/>
      <c r="AL399" s="72"/>
      <c r="AM399" s="72"/>
      <c r="AN399" s="72"/>
      <c r="AO399" s="72"/>
      <c r="AP399" s="72"/>
      <c r="AQ399" s="72"/>
      <c r="AR399" s="72"/>
      <c r="AS399" s="72"/>
      <c r="AT399" s="72"/>
      <c r="AU399" s="72"/>
    </row>
    <row r="400" customFormat="false" ht="15.75" hidden="false" customHeight="false" outlineLevel="0" collapsed="false">
      <c r="A400" s="73"/>
      <c r="B400" s="72"/>
      <c r="C400" s="72"/>
      <c r="D400" s="72"/>
      <c r="E400" s="7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72"/>
      <c r="AC400" s="72"/>
      <c r="AD400" s="32"/>
      <c r="AE400" s="32"/>
      <c r="AF400" s="32"/>
      <c r="AG400" s="32"/>
      <c r="AH400" s="32"/>
      <c r="AI400" s="72"/>
      <c r="AJ400" s="72"/>
      <c r="AK400" s="72"/>
      <c r="AL400" s="72"/>
      <c r="AM400" s="72"/>
      <c r="AN400" s="72"/>
      <c r="AO400" s="72"/>
      <c r="AP400" s="72"/>
      <c r="AQ400" s="72"/>
      <c r="AR400" s="72"/>
      <c r="AS400" s="72"/>
      <c r="AT400" s="72"/>
      <c r="AU400" s="72"/>
    </row>
    <row r="401" customFormat="false" ht="15.75" hidden="false" customHeight="false" outlineLevel="0" collapsed="false">
      <c r="A401" s="73"/>
      <c r="B401" s="72"/>
      <c r="C401" s="72"/>
      <c r="D401" s="72"/>
      <c r="E401" s="7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72"/>
      <c r="AC401" s="72"/>
      <c r="AD401" s="32"/>
      <c r="AE401" s="32"/>
      <c r="AF401" s="32"/>
      <c r="AG401" s="32"/>
      <c r="AH401" s="32"/>
      <c r="AI401" s="72"/>
      <c r="AJ401" s="72"/>
      <c r="AK401" s="72"/>
      <c r="AL401" s="72"/>
      <c r="AM401" s="72"/>
      <c r="AN401" s="72"/>
      <c r="AO401" s="72"/>
      <c r="AP401" s="72"/>
      <c r="AQ401" s="72"/>
      <c r="AR401" s="72"/>
      <c r="AS401" s="72"/>
      <c r="AT401" s="72"/>
      <c r="AU401" s="72"/>
    </row>
    <row r="402" customFormat="false" ht="15.75" hidden="false" customHeight="false" outlineLevel="0" collapsed="false">
      <c r="A402" s="73"/>
      <c r="B402" s="72"/>
      <c r="C402" s="72"/>
      <c r="D402" s="72"/>
      <c r="E402" s="7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72"/>
      <c r="AC402" s="72"/>
      <c r="AD402" s="32"/>
      <c r="AE402" s="32"/>
      <c r="AF402" s="32"/>
      <c r="AG402" s="32"/>
      <c r="AH402" s="32"/>
      <c r="AI402" s="72"/>
      <c r="AJ402" s="72"/>
      <c r="AK402" s="72"/>
      <c r="AL402" s="72"/>
      <c r="AM402" s="72"/>
      <c r="AN402" s="72"/>
      <c r="AO402" s="72"/>
      <c r="AP402" s="72"/>
      <c r="AQ402" s="72"/>
      <c r="AR402" s="72"/>
      <c r="AS402" s="72"/>
      <c r="AT402" s="72"/>
      <c r="AU402" s="72"/>
    </row>
    <row r="403" customFormat="false" ht="15.75" hidden="false" customHeight="false" outlineLevel="0" collapsed="false">
      <c r="A403" s="73"/>
      <c r="B403" s="72"/>
      <c r="C403" s="72"/>
      <c r="D403" s="72"/>
      <c r="E403" s="7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72"/>
      <c r="AC403" s="72"/>
      <c r="AD403" s="32"/>
      <c r="AE403" s="32"/>
      <c r="AF403" s="32"/>
      <c r="AG403" s="32"/>
      <c r="AH403" s="32"/>
      <c r="AI403" s="72"/>
      <c r="AJ403" s="72"/>
      <c r="AK403" s="72"/>
      <c r="AL403" s="72"/>
      <c r="AM403" s="72"/>
      <c r="AN403" s="72"/>
      <c r="AO403" s="72"/>
      <c r="AP403" s="72"/>
      <c r="AQ403" s="72"/>
      <c r="AR403" s="72"/>
      <c r="AS403" s="72"/>
      <c r="AT403" s="72"/>
      <c r="AU403" s="72"/>
    </row>
    <row r="404" customFormat="false" ht="15.75" hidden="false" customHeight="false" outlineLevel="0" collapsed="false">
      <c r="A404" s="73"/>
      <c r="B404" s="72"/>
      <c r="C404" s="72"/>
      <c r="D404" s="72"/>
      <c r="E404" s="7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72"/>
      <c r="AC404" s="72"/>
      <c r="AD404" s="32"/>
      <c r="AE404" s="32"/>
      <c r="AF404" s="32"/>
      <c r="AG404" s="32"/>
      <c r="AH404" s="32"/>
      <c r="AI404" s="72"/>
      <c r="AJ404" s="72"/>
      <c r="AK404" s="72"/>
      <c r="AL404" s="72"/>
      <c r="AM404" s="72"/>
      <c r="AN404" s="72"/>
      <c r="AO404" s="72"/>
      <c r="AP404" s="72"/>
      <c r="AQ404" s="72"/>
      <c r="AR404" s="72"/>
      <c r="AS404" s="72"/>
      <c r="AT404" s="72"/>
      <c r="AU404" s="72"/>
    </row>
    <row r="405" customFormat="false" ht="15.75" hidden="false" customHeight="false" outlineLevel="0" collapsed="false">
      <c r="A405" s="73"/>
      <c r="B405" s="72"/>
      <c r="C405" s="72"/>
      <c r="D405" s="72"/>
      <c r="E405" s="7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72"/>
      <c r="AC405" s="72"/>
      <c r="AD405" s="32"/>
      <c r="AE405" s="32"/>
      <c r="AF405" s="32"/>
      <c r="AG405" s="32"/>
      <c r="AH405" s="32"/>
      <c r="AI405" s="72"/>
      <c r="AJ405" s="72"/>
      <c r="AK405" s="72"/>
      <c r="AL405" s="72"/>
      <c r="AM405" s="72"/>
      <c r="AN405" s="72"/>
      <c r="AO405" s="72"/>
      <c r="AP405" s="72"/>
      <c r="AQ405" s="72"/>
      <c r="AR405" s="72"/>
      <c r="AS405" s="72"/>
      <c r="AT405" s="72"/>
      <c r="AU405" s="72"/>
    </row>
    <row r="406" customFormat="false" ht="15.75" hidden="false" customHeight="false" outlineLevel="0" collapsed="false">
      <c r="A406" s="73"/>
      <c r="B406" s="72"/>
      <c r="C406" s="72"/>
      <c r="D406" s="72"/>
      <c r="E406" s="7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72"/>
      <c r="AC406" s="72"/>
      <c r="AD406" s="32"/>
      <c r="AE406" s="32"/>
      <c r="AF406" s="32"/>
      <c r="AG406" s="32"/>
      <c r="AH406" s="32"/>
      <c r="AI406" s="72"/>
      <c r="AJ406" s="72"/>
      <c r="AK406" s="72"/>
      <c r="AL406" s="72"/>
      <c r="AM406" s="72"/>
      <c r="AN406" s="72"/>
      <c r="AO406" s="72"/>
      <c r="AP406" s="72"/>
      <c r="AQ406" s="72"/>
      <c r="AR406" s="72"/>
      <c r="AS406" s="72"/>
      <c r="AT406" s="72"/>
      <c r="AU406" s="72"/>
    </row>
    <row r="407" customFormat="false" ht="15.75" hidden="false" customHeight="false" outlineLevel="0" collapsed="false">
      <c r="A407" s="73"/>
      <c r="B407" s="72"/>
      <c r="C407" s="72"/>
      <c r="D407" s="72"/>
      <c r="E407" s="7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72"/>
      <c r="AC407" s="72"/>
      <c r="AD407" s="32"/>
      <c r="AE407" s="32"/>
      <c r="AF407" s="32"/>
      <c r="AG407" s="32"/>
      <c r="AH407" s="32"/>
      <c r="AI407" s="72"/>
      <c r="AJ407" s="72"/>
      <c r="AK407" s="72"/>
      <c r="AL407" s="72"/>
      <c r="AM407" s="72"/>
      <c r="AN407" s="72"/>
      <c r="AO407" s="72"/>
      <c r="AP407" s="72"/>
      <c r="AQ407" s="72"/>
      <c r="AR407" s="72"/>
      <c r="AS407" s="72"/>
      <c r="AT407" s="72"/>
      <c r="AU407" s="72"/>
    </row>
    <row r="408" customFormat="false" ht="15.75" hidden="false" customHeight="false" outlineLevel="0" collapsed="false">
      <c r="A408" s="73"/>
      <c r="B408" s="72"/>
      <c r="C408" s="72"/>
      <c r="D408" s="72"/>
      <c r="E408" s="7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72"/>
      <c r="AC408" s="72"/>
      <c r="AD408" s="32"/>
      <c r="AE408" s="32"/>
      <c r="AF408" s="32"/>
      <c r="AG408" s="32"/>
      <c r="AH408" s="32"/>
      <c r="AI408" s="72"/>
      <c r="AJ408" s="72"/>
      <c r="AK408" s="72"/>
      <c r="AL408" s="72"/>
      <c r="AM408" s="72"/>
      <c r="AN408" s="72"/>
      <c r="AO408" s="72"/>
      <c r="AP408" s="72"/>
      <c r="AQ408" s="72"/>
      <c r="AR408" s="72"/>
      <c r="AS408" s="72"/>
      <c r="AT408" s="72"/>
      <c r="AU408" s="72"/>
    </row>
    <row r="409" customFormat="false" ht="15.75" hidden="false" customHeight="false" outlineLevel="0" collapsed="false">
      <c r="A409" s="73"/>
      <c r="B409" s="72"/>
      <c r="C409" s="72"/>
      <c r="D409" s="72"/>
      <c r="E409" s="7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72"/>
      <c r="AC409" s="72"/>
      <c r="AD409" s="32"/>
      <c r="AE409" s="32"/>
      <c r="AF409" s="32"/>
      <c r="AG409" s="32"/>
      <c r="AH409" s="32"/>
      <c r="AI409" s="72"/>
      <c r="AJ409" s="72"/>
      <c r="AK409" s="72"/>
      <c r="AL409" s="72"/>
      <c r="AM409" s="72"/>
      <c r="AN409" s="72"/>
      <c r="AO409" s="72"/>
      <c r="AP409" s="72"/>
      <c r="AQ409" s="72"/>
      <c r="AR409" s="72"/>
      <c r="AS409" s="72"/>
      <c r="AT409" s="72"/>
      <c r="AU409" s="72"/>
    </row>
    <row r="410" customFormat="false" ht="15.75" hidden="false" customHeight="false" outlineLevel="0" collapsed="false">
      <c r="A410" s="73"/>
      <c r="B410" s="72"/>
      <c r="C410" s="72"/>
      <c r="D410" s="72"/>
      <c r="E410" s="7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72"/>
      <c r="AC410" s="72"/>
      <c r="AD410" s="32"/>
      <c r="AE410" s="32"/>
      <c r="AF410" s="32"/>
      <c r="AG410" s="32"/>
      <c r="AH410" s="32"/>
      <c r="AI410" s="72"/>
      <c r="AJ410" s="72"/>
      <c r="AK410" s="72"/>
      <c r="AL410" s="72"/>
      <c r="AM410" s="72"/>
      <c r="AN410" s="72"/>
      <c r="AO410" s="72"/>
      <c r="AP410" s="72"/>
      <c r="AQ410" s="72"/>
      <c r="AR410" s="72"/>
      <c r="AS410" s="72"/>
      <c r="AT410" s="72"/>
      <c r="AU410" s="72"/>
    </row>
    <row r="411" customFormat="false" ht="15.75" hidden="false" customHeight="false" outlineLevel="0" collapsed="false">
      <c r="A411" s="73"/>
      <c r="B411" s="72"/>
      <c r="C411" s="72"/>
      <c r="D411" s="72"/>
      <c r="E411" s="7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72"/>
      <c r="AC411" s="72"/>
      <c r="AD411" s="32"/>
      <c r="AE411" s="32"/>
      <c r="AF411" s="32"/>
      <c r="AG411" s="32"/>
      <c r="AH411" s="32"/>
      <c r="AI411" s="72"/>
      <c r="AJ411" s="72"/>
      <c r="AK411" s="72"/>
      <c r="AL411" s="72"/>
      <c r="AM411" s="72"/>
      <c r="AN411" s="72"/>
      <c r="AO411" s="72"/>
      <c r="AP411" s="72"/>
      <c r="AQ411" s="72"/>
      <c r="AR411" s="72"/>
      <c r="AS411" s="72"/>
      <c r="AT411" s="72"/>
      <c r="AU411" s="72"/>
    </row>
    <row r="412" customFormat="false" ht="15.75" hidden="false" customHeight="false" outlineLevel="0" collapsed="false">
      <c r="A412" s="73"/>
      <c r="B412" s="72"/>
      <c r="C412" s="72"/>
      <c r="D412" s="72"/>
      <c r="E412" s="7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72"/>
      <c r="AC412" s="72"/>
      <c r="AD412" s="32"/>
      <c r="AE412" s="32"/>
      <c r="AF412" s="32"/>
      <c r="AG412" s="32"/>
      <c r="AH412" s="32"/>
      <c r="AI412" s="72"/>
      <c r="AJ412" s="72"/>
      <c r="AK412" s="72"/>
      <c r="AL412" s="72"/>
      <c r="AM412" s="72"/>
      <c r="AN412" s="72"/>
      <c r="AO412" s="72"/>
      <c r="AP412" s="72"/>
      <c r="AQ412" s="72"/>
      <c r="AR412" s="72"/>
      <c r="AS412" s="72"/>
      <c r="AT412" s="72"/>
      <c r="AU412" s="72"/>
    </row>
    <row r="413" customFormat="false" ht="15.75" hidden="false" customHeight="false" outlineLevel="0" collapsed="false">
      <c r="A413" s="73"/>
      <c r="B413" s="72"/>
      <c r="C413" s="72"/>
      <c r="D413" s="72"/>
      <c r="E413" s="7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72"/>
      <c r="AC413" s="72"/>
      <c r="AD413" s="32"/>
      <c r="AE413" s="32"/>
      <c r="AF413" s="32"/>
      <c r="AG413" s="32"/>
      <c r="AH413" s="32"/>
      <c r="AI413" s="72"/>
      <c r="AJ413" s="72"/>
      <c r="AK413" s="72"/>
      <c r="AL413" s="72"/>
      <c r="AM413" s="72"/>
      <c r="AN413" s="72"/>
      <c r="AO413" s="72"/>
      <c r="AP413" s="72"/>
      <c r="AQ413" s="72"/>
      <c r="AR413" s="72"/>
      <c r="AS413" s="72"/>
      <c r="AT413" s="72"/>
      <c r="AU413" s="72"/>
    </row>
    <row r="414" customFormat="false" ht="15.75" hidden="false" customHeight="false" outlineLevel="0" collapsed="false">
      <c r="A414" s="73"/>
      <c r="B414" s="72"/>
      <c r="C414" s="72"/>
      <c r="D414" s="72"/>
      <c r="E414" s="7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72"/>
      <c r="AC414" s="72"/>
      <c r="AD414" s="32"/>
      <c r="AE414" s="32"/>
      <c r="AF414" s="32"/>
      <c r="AG414" s="32"/>
      <c r="AH414" s="32"/>
      <c r="AI414" s="72"/>
      <c r="AJ414" s="72"/>
      <c r="AK414" s="72"/>
      <c r="AL414" s="72"/>
      <c r="AM414" s="72"/>
      <c r="AN414" s="72"/>
      <c r="AO414" s="72"/>
      <c r="AP414" s="72"/>
      <c r="AQ414" s="72"/>
      <c r="AR414" s="72"/>
      <c r="AS414" s="72"/>
      <c r="AT414" s="72"/>
      <c r="AU414" s="72"/>
    </row>
    <row r="415" customFormat="false" ht="15.75" hidden="false" customHeight="false" outlineLevel="0" collapsed="false">
      <c r="A415" s="73"/>
      <c r="B415" s="72"/>
      <c r="C415" s="72"/>
      <c r="D415" s="72"/>
      <c r="E415" s="7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72"/>
      <c r="AC415" s="72"/>
      <c r="AD415" s="32"/>
      <c r="AE415" s="32"/>
      <c r="AF415" s="32"/>
      <c r="AG415" s="32"/>
      <c r="AH415" s="32"/>
      <c r="AI415" s="72"/>
      <c r="AJ415" s="72"/>
      <c r="AK415" s="72"/>
      <c r="AL415" s="72"/>
      <c r="AM415" s="72"/>
      <c r="AN415" s="72"/>
      <c r="AO415" s="72"/>
      <c r="AP415" s="72"/>
      <c r="AQ415" s="72"/>
      <c r="AR415" s="72"/>
      <c r="AS415" s="72"/>
      <c r="AT415" s="72"/>
      <c r="AU415" s="72"/>
    </row>
    <row r="416" customFormat="false" ht="15.75" hidden="false" customHeight="false" outlineLevel="0" collapsed="false">
      <c r="A416" s="73"/>
      <c r="B416" s="72"/>
      <c r="C416" s="72"/>
      <c r="D416" s="72"/>
      <c r="E416" s="7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72"/>
      <c r="AC416" s="72"/>
      <c r="AD416" s="32"/>
      <c r="AE416" s="32"/>
      <c r="AF416" s="32"/>
      <c r="AG416" s="32"/>
      <c r="AH416" s="32"/>
      <c r="AI416" s="72"/>
      <c r="AJ416" s="72"/>
      <c r="AK416" s="72"/>
      <c r="AL416" s="72"/>
      <c r="AM416" s="72"/>
      <c r="AN416" s="72"/>
      <c r="AO416" s="72"/>
      <c r="AP416" s="72"/>
      <c r="AQ416" s="72"/>
      <c r="AR416" s="72"/>
      <c r="AS416" s="72"/>
      <c r="AT416" s="72"/>
      <c r="AU416" s="72"/>
    </row>
    <row r="417" customFormat="false" ht="15.75" hidden="false" customHeight="false" outlineLevel="0" collapsed="false">
      <c r="A417" s="73"/>
      <c r="B417" s="72"/>
      <c r="C417" s="72"/>
      <c r="D417" s="72"/>
      <c r="E417" s="7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72"/>
      <c r="AC417" s="72"/>
      <c r="AD417" s="32"/>
      <c r="AE417" s="32"/>
      <c r="AF417" s="32"/>
      <c r="AG417" s="32"/>
      <c r="AH417" s="32"/>
      <c r="AI417" s="72"/>
      <c r="AJ417" s="72"/>
      <c r="AK417" s="72"/>
      <c r="AL417" s="72"/>
      <c r="AM417" s="72"/>
      <c r="AN417" s="72"/>
      <c r="AO417" s="72"/>
      <c r="AP417" s="72"/>
      <c r="AQ417" s="72"/>
      <c r="AR417" s="72"/>
      <c r="AS417" s="72"/>
      <c r="AT417" s="72"/>
      <c r="AU417" s="72"/>
    </row>
    <row r="418" customFormat="false" ht="15.75" hidden="false" customHeight="false" outlineLevel="0" collapsed="false">
      <c r="A418" s="73"/>
      <c r="B418" s="72"/>
      <c r="C418" s="72"/>
      <c r="D418" s="72"/>
      <c r="E418" s="7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72"/>
      <c r="AC418" s="72"/>
      <c r="AD418" s="32"/>
      <c r="AE418" s="32"/>
      <c r="AF418" s="32"/>
      <c r="AG418" s="32"/>
      <c r="AH418" s="32"/>
      <c r="AI418" s="72"/>
      <c r="AJ418" s="72"/>
      <c r="AK418" s="72"/>
      <c r="AL418" s="72"/>
      <c r="AM418" s="72"/>
      <c r="AN418" s="72"/>
      <c r="AO418" s="72"/>
      <c r="AP418" s="72"/>
      <c r="AQ418" s="72"/>
      <c r="AR418" s="72"/>
      <c r="AS418" s="72"/>
      <c r="AT418" s="72"/>
      <c r="AU418" s="72"/>
    </row>
    <row r="419" customFormat="false" ht="15.75" hidden="false" customHeight="false" outlineLevel="0" collapsed="false">
      <c r="A419" s="73"/>
      <c r="B419" s="72"/>
      <c r="C419" s="72"/>
      <c r="D419" s="72"/>
      <c r="E419" s="7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72"/>
      <c r="AC419" s="72"/>
      <c r="AD419" s="32"/>
      <c r="AE419" s="32"/>
      <c r="AF419" s="32"/>
      <c r="AG419" s="32"/>
      <c r="AH419" s="32"/>
      <c r="AI419" s="72"/>
      <c r="AJ419" s="72"/>
      <c r="AK419" s="72"/>
      <c r="AL419" s="72"/>
      <c r="AM419" s="72"/>
      <c r="AN419" s="72"/>
      <c r="AO419" s="72"/>
      <c r="AP419" s="72"/>
      <c r="AQ419" s="72"/>
      <c r="AR419" s="72"/>
      <c r="AS419" s="72"/>
      <c r="AT419" s="72"/>
      <c r="AU419" s="72"/>
    </row>
    <row r="420" customFormat="false" ht="15.75" hidden="false" customHeight="false" outlineLevel="0" collapsed="false">
      <c r="A420" s="73"/>
      <c r="B420" s="72"/>
      <c r="C420" s="72"/>
      <c r="D420" s="72"/>
      <c r="E420" s="7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72"/>
      <c r="AC420" s="72"/>
      <c r="AD420" s="32"/>
      <c r="AE420" s="32"/>
      <c r="AF420" s="32"/>
      <c r="AG420" s="32"/>
      <c r="AH420" s="32"/>
      <c r="AI420" s="72"/>
      <c r="AJ420" s="72"/>
      <c r="AK420" s="72"/>
      <c r="AL420" s="72"/>
      <c r="AM420" s="72"/>
      <c r="AN420" s="72"/>
      <c r="AO420" s="72"/>
      <c r="AP420" s="72"/>
      <c r="AQ420" s="72"/>
      <c r="AR420" s="72"/>
      <c r="AS420" s="72"/>
      <c r="AT420" s="72"/>
      <c r="AU420" s="72"/>
    </row>
    <row r="421" customFormat="false" ht="15.75" hidden="false" customHeight="false" outlineLevel="0" collapsed="false">
      <c r="A421" s="73"/>
      <c r="B421" s="72"/>
      <c r="C421" s="72"/>
      <c r="D421" s="72"/>
      <c r="E421" s="7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72"/>
      <c r="AC421" s="72"/>
      <c r="AD421" s="32"/>
      <c r="AE421" s="32"/>
      <c r="AF421" s="32"/>
      <c r="AG421" s="32"/>
      <c r="AH421" s="32"/>
      <c r="AI421" s="72"/>
      <c r="AJ421" s="72"/>
      <c r="AK421" s="72"/>
      <c r="AL421" s="72"/>
      <c r="AM421" s="72"/>
      <c r="AN421" s="72"/>
      <c r="AO421" s="72"/>
      <c r="AP421" s="72"/>
      <c r="AQ421" s="72"/>
      <c r="AR421" s="72"/>
      <c r="AS421" s="72"/>
      <c r="AT421" s="72"/>
      <c r="AU421" s="72"/>
    </row>
    <row r="422" customFormat="false" ht="15.75" hidden="false" customHeight="false" outlineLevel="0" collapsed="false">
      <c r="A422" s="73"/>
      <c r="B422" s="72"/>
      <c r="C422" s="72"/>
      <c r="D422" s="72"/>
      <c r="E422" s="7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72"/>
      <c r="AC422" s="72"/>
      <c r="AD422" s="32"/>
      <c r="AE422" s="32"/>
      <c r="AF422" s="32"/>
      <c r="AG422" s="32"/>
      <c r="AH422" s="32"/>
      <c r="AI422" s="72"/>
      <c r="AJ422" s="72"/>
      <c r="AK422" s="72"/>
      <c r="AL422" s="72"/>
      <c r="AM422" s="72"/>
      <c r="AN422" s="72"/>
      <c r="AO422" s="72"/>
      <c r="AP422" s="72"/>
      <c r="AQ422" s="72"/>
      <c r="AR422" s="72"/>
      <c r="AS422" s="72"/>
      <c r="AT422" s="72"/>
      <c r="AU422" s="72"/>
    </row>
    <row r="423" customFormat="false" ht="15.75" hidden="false" customHeight="false" outlineLevel="0" collapsed="false">
      <c r="A423" s="73"/>
      <c r="B423" s="72"/>
      <c r="C423" s="72"/>
      <c r="D423" s="72"/>
      <c r="E423" s="7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72"/>
      <c r="AC423" s="72"/>
      <c r="AD423" s="32"/>
      <c r="AE423" s="32"/>
      <c r="AF423" s="32"/>
      <c r="AG423" s="32"/>
      <c r="AH423" s="32"/>
      <c r="AI423" s="72"/>
      <c r="AJ423" s="72"/>
      <c r="AK423" s="72"/>
      <c r="AL423" s="72"/>
      <c r="AM423" s="72"/>
      <c r="AN423" s="72"/>
      <c r="AO423" s="72"/>
      <c r="AP423" s="72"/>
      <c r="AQ423" s="72"/>
      <c r="AR423" s="72"/>
      <c r="AS423" s="72"/>
      <c r="AT423" s="72"/>
      <c r="AU423" s="72"/>
    </row>
    <row r="424" customFormat="false" ht="15.75" hidden="false" customHeight="false" outlineLevel="0" collapsed="false">
      <c r="A424" s="73"/>
      <c r="B424" s="72"/>
      <c r="C424" s="72"/>
      <c r="D424" s="72"/>
      <c r="E424" s="7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72"/>
      <c r="AC424" s="72"/>
      <c r="AD424" s="32"/>
      <c r="AE424" s="32"/>
      <c r="AF424" s="32"/>
      <c r="AG424" s="32"/>
      <c r="AH424" s="32"/>
      <c r="AI424" s="72"/>
      <c r="AJ424" s="72"/>
      <c r="AK424" s="72"/>
      <c r="AL424" s="72"/>
      <c r="AM424" s="72"/>
      <c r="AN424" s="72"/>
      <c r="AO424" s="72"/>
      <c r="AP424" s="72"/>
      <c r="AQ424" s="72"/>
      <c r="AR424" s="72"/>
      <c r="AS424" s="72"/>
      <c r="AT424" s="72"/>
      <c r="AU424" s="72"/>
    </row>
    <row r="425" customFormat="false" ht="15.75" hidden="false" customHeight="false" outlineLevel="0" collapsed="false">
      <c r="A425" s="73"/>
      <c r="B425" s="72"/>
      <c r="C425" s="72"/>
      <c r="D425" s="72"/>
      <c r="E425" s="7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72"/>
      <c r="AC425" s="72"/>
      <c r="AD425" s="32"/>
      <c r="AE425" s="32"/>
      <c r="AF425" s="32"/>
      <c r="AG425" s="32"/>
      <c r="AH425" s="32"/>
      <c r="AI425" s="72"/>
      <c r="AJ425" s="72"/>
      <c r="AK425" s="72"/>
      <c r="AL425" s="72"/>
      <c r="AM425" s="72"/>
      <c r="AN425" s="72"/>
      <c r="AO425" s="72"/>
      <c r="AP425" s="72"/>
      <c r="AQ425" s="72"/>
      <c r="AR425" s="72"/>
      <c r="AS425" s="72"/>
      <c r="AT425" s="72"/>
      <c r="AU425" s="72"/>
    </row>
    <row r="426" customFormat="false" ht="15.75" hidden="false" customHeight="false" outlineLevel="0" collapsed="false">
      <c r="A426" s="73"/>
      <c r="B426" s="72"/>
      <c r="C426" s="72"/>
      <c r="D426" s="72"/>
      <c r="E426" s="7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72"/>
      <c r="AC426" s="72"/>
      <c r="AD426" s="32"/>
      <c r="AE426" s="32"/>
      <c r="AF426" s="32"/>
      <c r="AG426" s="32"/>
      <c r="AH426" s="32"/>
      <c r="AI426" s="72"/>
      <c r="AJ426" s="72"/>
      <c r="AK426" s="72"/>
      <c r="AL426" s="72"/>
      <c r="AM426" s="72"/>
      <c r="AN426" s="72"/>
      <c r="AO426" s="72"/>
      <c r="AP426" s="72"/>
      <c r="AQ426" s="72"/>
      <c r="AR426" s="72"/>
      <c r="AS426" s="72"/>
      <c r="AT426" s="72"/>
      <c r="AU426" s="72"/>
    </row>
    <row r="427" customFormat="false" ht="15.75" hidden="false" customHeight="false" outlineLevel="0" collapsed="false">
      <c r="A427" s="73"/>
      <c r="B427" s="72"/>
      <c r="C427" s="72"/>
      <c r="D427" s="72"/>
      <c r="E427" s="7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72"/>
      <c r="AC427" s="72"/>
      <c r="AD427" s="32"/>
      <c r="AE427" s="32"/>
      <c r="AF427" s="32"/>
      <c r="AG427" s="32"/>
      <c r="AH427" s="32"/>
      <c r="AI427" s="72"/>
      <c r="AJ427" s="72"/>
      <c r="AK427" s="72"/>
      <c r="AL427" s="72"/>
      <c r="AM427" s="72"/>
      <c r="AN427" s="72"/>
      <c r="AO427" s="72"/>
      <c r="AP427" s="72"/>
      <c r="AQ427" s="72"/>
      <c r="AR427" s="72"/>
      <c r="AS427" s="72"/>
      <c r="AT427" s="72"/>
      <c r="AU427" s="72"/>
    </row>
    <row r="428" customFormat="false" ht="15.75" hidden="false" customHeight="false" outlineLevel="0" collapsed="false">
      <c r="A428" s="73"/>
      <c r="B428" s="72"/>
      <c r="C428" s="72"/>
      <c r="D428" s="72"/>
      <c r="E428" s="7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72"/>
      <c r="AC428" s="72"/>
      <c r="AD428" s="32"/>
      <c r="AE428" s="32"/>
      <c r="AF428" s="32"/>
      <c r="AG428" s="32"/>
      <c r="AH428" s="32"/>
      <c r="AI428" s="72"/>
      <c r="AJ428" s="72"/>
      <c r="AK428" s="72"/>
      <c r="AL428" s="72"/>
      <c r="AM428" s="72"/>
      <c r="AN428" s="72"/>
      <c r="AO428" s="72"/>
      <c r="AP428" s="72"/>
      <c r="AQ428" s="72"/>
      <c r="AR428" s="72"/>
      <c r="AS428" s="72"/>
      <c r="AT428" s="72"/>
      <c r="AU428" s="72"/>
    </row>
    <row r="429" customFormat="false" ht="15.75" hidden="false" customHeight="false" outlineLevel="0" collapsed="false">
      <c r="A429" s="73"/>
      <c r="B429" s="72"/>
      <c r="C429" s="72"/>
      <c r="D429" s="72"/>
      <c r="E429" s="7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72"/>
      <c r="AC429" s="72"/>
      <c r="AD429" s="32"/>
      <c r="AE429" s="32"/>
      <c r="AF429" s="32"/>
      <c r="AG429" s="32"/>
      <c r="AH429" s="32"/>
      <c r="AI429" s="72"/>
      <c r="AJ429" s="72"/>
      <c r="AK429" s="72"/>
      <c r="AL429" s="72"/>
      <c r="AM429" s="72"/>
      <c r="AN429" s="72"/>
      <c r="AO429" s="72"/>
      <c r="AP429" s="72"/>
      <c r="AQ429" s="72"/>
      <c r="AR429" s="72"/>
      <c r="AS429" s="72"/>
      <c r="AT429" s="72"/>
      <c r="AU429" s="72"/>
    </row>
    <row r="430" customFormat="false" ht="15.75" hidden="false" customHeight="false" outlineLevel="0" collapsed="false">
      <c r="A430" s="73"/>
      <c r="B430" s="72"/>
      <c r="C430" s="72"/>
      <c r="D430" s="72"/>
      <c r="E430" s="7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72"/>
      <c r="AC430" s="72"/>
      <c r="AD430" s="32"/>
      <c r="AE430" s="32"/>
      <c r="AF430" s="32"/>
      <c r="AG430" s="32"/>
      <c r="AH430" s="32"/>
      <c r="AI430" s="72"/>
      <c r="AJ430" s="72"/>
      <c r="AK430" s="72"/>
      <c r="AL430" s="72"/>
      <c r="AM430" s="72"/>
      <c r="AN430" s="72"/>
      <c r="AO430" s="72"/>
      <c r="AP430" s="72"/>
      <c r="AQ430" s="72"/>
      <c r="AR430" s="72"/>
      <c r="AS430" s="72"/>
      <c r="AT430" s="72"/>
      <c r="AU430" s="72"/>
    </row>
    <row r="431" customFormat="false" ht="15.75" hidden="false" customHeight="false" outlineLevel="0" collapsed="false">
      <c r="A431" s="73"/>
      <c r="B431" s="72"/>
      <c r="C431" s="72"/>
      <c r="D431" s="72"/>
      <c r="E431" s="7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72"/>
      <c r="AC431" s="72"/>
      <c r="AD431" s="32"/>
      <c r="AE431" s="32"/>
      <c r="AF431" s="32"/>
      <c r="AG431" s="32"/>
      <c r="AH431" s="32"/>
      <c r="AI431" s="72"/>
      <c r="AJ431" s="72"/>
      <c r="AK431" s="72"/>
      <c r="AL431" s="72"/>
      <c r="AM431" s="72"/>
      <c r="AN431" s="72"/>
      <c r="AO431" s="72"/>
      <c r="AP431" s="72"/>
      <c r="AQ431" s="72"/>
      <c r="AR431" s="72"/>
      <c r="AS431" s="72"/>
      <c r="AT431" s="72"/>
      <c r="AU431" s="72"/>
    </row>
    <row r="432" customFormat="false" ht="15.75" hidden="false" customHeight="false" outlineLevel="0" collapsed="false">
      <c r="A432" s="73"/>
      <c r="B432" s="72"/>
      <c r="C432" s="72"/>
      <c r="D432" s="72"/>
      <c r="E432" s="7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72"/>
      <c r="AC432" s="72"/>
      <c r="AD432" s="32"/>
      <c r="AE432" s="32"/>
      <c r="AF432" s="32"/>
      <c r="AG432" s="32"/>
      <c r="AH432" s="32"/>
      <c r="AI432" s="72"/>
      <c r="AJ432" s="72"/>
      <c r="AK432" s="72"/>
      <c r="AL432" s="72"/>
      <c r="AM432" s="72"/>
      <c r="AN432" s="72"/>
      <c r="AO432" s="72"/>
      <c r="AP432" s="72"/>
      <c r="AQ432" s="72"/>
      <c r="AR432" s="72"/>
      <c r="AS432" s="72"/>
      <c r="AT432" s="72"/>
      <c r="AU432" s="72"/>
    </row>
    <row r="433" customFormat="false" ht="15.75" hidden="false" customHeight="false" outlineLevel="0" collapsed="false">
      <c r="A433" s="73"/>
      <c r="B433" s="72"/>
      <c r="C433" s="72"/>
      <c r="D433" s="72"/>
      <c r="E433" s="7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72"/>
      <c r="AC433" s="72"/>
      <c r="AD433" s="32"/>
      <c r="AE433" s="32"/>
      <c r="AF433" s="32"/>
      <c r="AG433" s="32"/>
      <c r="AH433" s="32"/>
      <c r="AI433" s="72"/>
      <c r="AJ433" s="72"/>
      <c r="AK433" s="72"/>
      <c r="AL433" s="72"/>
      <c r="AM433" s="72"/>
      <c r="AN433" s="72"/>
      <c r="AO433" s="72"/>
      <c r="AP433" s="72"/>
      <c r="AQ433" s="72"/>
      <c r="AR433" s="72"/>
      <c r="AS433" s="72"/>
      <c r="AT433" s="72"/>
      <c r="AU433" s="72"/>
    </row>
    <row r="434" customFormat="false" ht="15.75" hidden="false" customHeight="false" outlineLevel="0" collapsed="false">
      <c r="A434" s="73"/>
      <c r="B434" s="72"/>
      <c r="C434" s="72"/>
      <c r="D434" s="72"/>
      <c r="E434" s="7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72"/>
      <c r="AC434" s="72"/>
      <c r="AD434" s="32"/>
      <c r="AE434" s="32"/>
      <c r="AF434" s="32"/>
      <c r="AG434" s="32"/>
      <c r="AH434" s="32"/>
      <c r="AI434" s="72"/>
      <c r="AJ434" s="72"/>
      <c r="AK434" s="72"/>
      <c r="AL434" s="72"/>
      <c r="AM434" s="72"/>
      <c r="AN434" s="72"/>
      <c r="AO434" s="72"/>
      <c r="AP434" s="72"/>
      <c r="AQ434" s="72"/>
      <c r="AR434" s="72"/>
      <c r="AS434" s="72"/>
      <c r="AT434" s="72"/>
      <c r="AU434" s="72"/>
    </row>
    <row r="435" customFormat="false" ht="15.75" hidden="false" customHeight="false" outlineLevel="0" collapsed="false">
      <c r="A435" s="73"/>
      <c r="B435" s="72"/>
      <c r="C435" s="72"/>
      <c r="D435" s="72"/>
      <c r="E435" s="7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72"/>
      <c r="AC435" s="72"/>
      <c r="AD435" s="32"/>
      <c r="AE435" s="32"/>
      <c r="AF435" s="32"/>
      <c r="AG435" s="32"/>
      <c r="AH435" s="32"/>
      <c r="AI435" s="72"/>
      <c r="AJ435" s="72"/>
      <c r="AK435" s="72"/>
      <c r="AL435" s="72"/>
      <c r="AM435" s="72"/>
      <c r="AN435" s="72"/>
      <c r="AO435" s="72"/>
      <c r="AP435" s="72"/>
      <c r="AQ435" s="72"/>
      <c r="AR435" s="72"/>
      <c r="AS435" s="72"/>
      <c r="AT435" s="72"/>
      <c r="AU435" s="72"/>
    </row>
    <row r="436" customFormat="false" ht="15.75" hidden="false" customHeight="false" outlineLevel="0" collapsed="false">
      <c r="A436" s="73"/>
      <c r="B436" s="72"/>
      <c r="C436" s="72"/>
      <c r="D436" s="72"/>
      <c r="E436" s="7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72"/>
      <c r="AC436" s="72"/>
      <c r="AD436" s="32"/>
      <c r="AE436" s="32"/>
      <c r="AF436" s="32"/>
      <c r="AG436" s="32"/>
      <c r="AH436" s="32"/>
      <c r="AI436" s="72"/>
      <c r="AJ436" s="72"/>
      <c r="AK436" s="72"/>
      <c r="AL436" s="72"/>
      <c r="AM436" s="72"/>
      <c r="AN436" s="72"/>
      <c r="AO436" s="72"/>
      <c r="AP436" s="72"/>
      <c r="AQ436" s="72"/>
      <c r="AR436" s="72"/>
      <c r="AS436" s="72"/>
      <c r="AT436" s="72"/>
      <c r="AU436" s="72"/>
    </row>
    <row r="437" customFormat="false" ht="15.75" hidden="false" customHeight="false" outlineLevel="0" collapsed="false">
      <c r="A437" s="73"/>
      <c r="B437" s="72"/>
      <c r="C437" s="72"/>
      <c r="D437" s="72"/>
      <c r="E437" s="7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72"/>
      <c r="AC437" s="72"/>
      <c r="AD437" s="32"/>
      <c r="AE437" s="32"/>
      <c r="AF437" s="32"/>
      <c r="AG437" s="32"/>
      <c r="AH437" s="32"/>
      <c r="AI437" s="72"/>
      <c r="AJ437" s="72"/>
      <c r="AK437" s="72"/>
      <c r="AL437" s="72"/>
      <c r="AM437" s="72"/>
      <c r="AN437" s="72"/>
      <c r="AO437" s="72"/>
      <c r="AP437" s="72"/>
      <c r="AQ437" s="72"/>
      <c r="AR437" s="72"/>
      <c r="AS437" s="72"/>
      <c r="AT437" s="72"/>
      <c r="AU437" s="72"/>
    </row>
    <row r="438" customFormat="false" ht="15.75" hidden="false" customHeight="false" outlineLevel="0" collapsed="false">
      <c r="A438" s="73"/>
      <c r="B438" s="72"/>
      <c r="C438" s="72"/>
      <c r="D438" s="72"/>
      <c r="E438" s="7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72"/>
      <c r="AC438" s="72"/>
      <c r="AD438" s="32"/>
      <c r="AE438" s="32"/>
      <c r="AF438" s="32"/>
      <c r="AG438" s="32"/>
      <c r="AH438" s="32"/>
      <c r="AI438" s="72"/>
      <c r="AJ438" s="72"/>
      <c r="AK438" s="72"/>
      <c r="AL438" s="72"/>
      <c r="AM438" s="72"/>
      <c r="AN438" s="72"/>
      <c r="AO438" s="72"/>
      <c r="AP438" s="72"/>
      <c r="AQ438" s="72"/>
      <c r="AR438" s="72"/>
      <c r="AS438" s="72"/>
      <c r="AT438" s="72"/>
      <c r="AU438" s="72"/>
    </row>
    <row r="439" customFormat="false" ht="15.75" hidden="false" customHeight="false" outlineLevel="0" collapsed="false">
      <c r="A439" s="73"/>
      <c r="B439" s="72"/>
      <c r="C439" s="72"/>
      <c r="D439" s="72"/>
      <c r="E439" s="7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72"/>
      <c r="AC439" s="72"/>
      <c r="AD439" s="32"/>
      <c r="AE439" s="32"/>
      <c r="AF439" s="32"/>
      <c r="AG439" s="32"/>
      <c r="AH439" s="32"/>
      <c r="AI439" s="72"/>
      <c r="AJ439" s="72"/>
      <c r="AK439" s="72"/>
      <c r="AL439" s="72"/>
      <c r="AM439" s="72"/>
      <c r="AN439" s="72"/>
      <c r="AO439" s="72"/>
      <c r="AP439" s="72"/>
      <c r="AQ439" s="72"/>
      <c r="AR439" s="72"/>
      <c r="AS439" s="72"/>
      <c r="AT439" s="72"/>
      <c r="AU439" s="72"/>
    </row>
    <row r="440" customFormat="false" ht="15.75" hidden="false" customHeight="false" outlineLevel="0" collapsed="false">
      <c r="A440" s="73"/>
      <c r="B440" s="72"/>
      <c r="C440" s="72"/>
      <c r="D440" s="72"/>
      <c r="E440" s="7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72"/>
      <c r="AC440" s="72"/>
      <c r="AD440" s="32"/>
      <c r="AE440" s="32"/>
      <c r="AF440" s="32"/>
      <c r="AG440" s="32"/>
      <c r="AH440" s="32"/>
      <c r="AI440" s="72"/>
      <c r="AJ440" s="72"/>
      <c r="AK440" s="72"/>
      <c r="AL440" s="72"/>
      <c r="AM440" s="72"/>
      <c r="AN440" s="72"/>
      <c r="AO440" s="72"/>
      <c r="AP440" s="72"/>
      <c r="AQ440" s="72"/>
      <c r="AR440" s="72"/>
      <c r="AS440" s="72"/>
      <c r="AT440" s="72"/>
      <c r="AU440" s="72"/>
    </row>
    <row r="441" customFormat="false" ht="15.75" hidden="false" customHeight="false" outlineLevel="0" collapsed="false">
      <c r="A441" s="73"/>
      <c r="B441" s="72"/>
      <c r="C441" s="72"/>
      <c r="D441" s="72"/>
      <c r="E441" s="7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72"/>
      <c r="AC441" s="72"/>
      <c r="AD441" s="32"/>
      <c r="AE441" s="32"/>
      <c r="AF441" s="32"/>
      <c r="AG441" s="32"/>
      <c r="AH441" s="32"/>
      <c r="AI441" s="72"/>
      <c r="AJ441" s="72"/>
      <c r="AK441" s="72"/>
      <c r="AL441" s="72"/>
      <c r="AM441" s="72"/>
      <c r="AN441" s="72"/>
      <c r="AO441" s="72"/>
      <c r="AP441" s="72"/>
      <c r="AQ441" s="72"/>
      <c r="AR441" s="72"/>
      <c r="AS441" s="72"/>
      <c r="AT441" s="72"/>
      <c r="AU441" s="72"/>
    </row>
    <row r="442" customFormat="false" ht="15.75" hidden="false" customHeight="false" outlineLevel="0" collapsed="false">
      <c r="A442" s="73"/>
      <c r="B442" s="72"/>
      <c r="C442" s="72"/>
      <c r="D442" s="72"/>
      <c r="E442" s="7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72"/>
      <c r="AC442" s="72"/>
      <c r="AD442" s="32"/>
      <c r="AE442" s="32"/>
      <c r="AF442" s="32"/>
      <c r="AG442" s="32"/>
      <c r="AH442" s="32"/>
      <c r="AI442" s="72"/>
      <c r="AJ442" s="72"/>
      <c r="AK442" s="72"/>
      <c r="AL442" s="72"/>
      <c r="AM442" s="72"/>
      <c r="AN442" s="72"/>
      <c r="AO442" s="72"/>
      <c r="AP442" s="72"/>
      <c r="AQ442" s="72"/>
      <c r="AR442" s="72"/>
      <c r="AS442" s="72"/>
      <c r="AT442" s="72"/>
      <c r="AU442" s="72"/>
    </row>
    <row r="443" customFormat="false" ht="15.75" hidden="false" customHeight="false" outlineLevel="0" collapsed="false">
      <c r="A443" s="73"/>
      <c r="B443" s="72"/>
      <c r="C443" s="72"/>
      <c r="D443" s="72"/>
      <c r="E443" s="7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72"/>
      <c r="AC443" s="72"/>
      <c r="AD443" s="32"/>
      <c r="AE443" s="32"/>
      <c r="AF443" s="32"/>
      <c r="AG443" s="32"/>
      <c r="AH443" s="32"/>
      <c r="AI443" s="72"/>
      <c r="AJ443" s="72"/>
      <c r="AK443" s="72"/>
      <c r="AL443" s="72"/>
      <c r="AM443" s="72"/>
      <c r="AN443" s="72"/>
      <c r="AO443" s="72"/>
      <c r="AP443" s="72"/>
      <c r="AQ443" s="72"/>
      <c r="AR443" s="72"/>
      <c r="AS443" s="72"/>
      <c r="AT443" s="72"/>
      <c r="AU443" s="72"/>
    </row>
    <row r="444" customFormat="false" ht="15.75" hidden="false" customHeight="false" outlineLevel="0" collapsed="false">
      <c r="A444" s="73"/>
      <c r="B444" s="72"/>
      <c r="C444" s="72"/>
      <c r="D444" s="72"/>
      <c r="E444" s="7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72"/>
      <c r="AC444" s="72"/>
      <c r="AD444" s="32"/>
      <c r="AE444" s="32"/>
      <c r="AF444" s="32"/>
      <c r="AG444" s="32"/>
      <c r="AH444" s="32"/>
      <c r="AI444" s="72"/>
      <c r="AJ444" s="72"/>
      <c r="AK444" s="72"/>
      <c r="AL444" s="72"/>
      <c r="AM444" s="72"/>
      <c r="AN444" s="72"/>
      <c r="AO444" s="72"/>
      <c r="AP444" s="72"/>
      <c r="AQ444" s="72"/>
      <c r="AR444" s="72"/>
      <c r="AS444" s="72"/>
      <c r="AT444" s="72"/>
      <c r="AU444" s="72"/>
    </row>
    <row r="445" customFormat="false" ht="15.75" hidden="false" customHeight="false" outlineLevel="0" collapsed="false">
      <c r="A445" s="73"/>
      <c r="B445" s="72"/>
      <c r="C445" s="72"/>
      <c r="D445" s="72"/>
      <c r="E445" s="7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72"/>
      <c r="AC445" s="72"/>
      <c r="AD445" s="32"/>
      <c r="AE445" s="32"/>
      <c r="AF445" s="32"/>
      <c r="AG445" s="32"/>
      <c r="AH445" s="32"/>
      <c r="AI445" s="72"/>
      <c r="AJ445" s="72"/>
      <c r="AK445" s="72"/>
      <c r="AL445" s="72"/>
      <c r="AM445" s="72"/>
      <c r="AN445" s="72"/>
      <c r="AO445" s="72"/>
      <c r="AP445" s="72"/>
      <c r="AQ445" s="72"/>
      <c r="AR445" s="72"/>
      <c r="AS445" s="72"/>
      <c r="AT445" s="72"/>
      <c r="AU445" s="72"/>
    </row>
    <row r="446" customFormat="false" ht="15.75" hidden="false" customHeight="false" outlineLevel="0" collapsed="false">
      <c r="A446" s="73"/>
      <c r="B446" s="72"/>
      <c r="C446" s="72"/>
      <c r="D446" s="72"/>
      <c r="E446" s="7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72"/>
      <c r="AC446" s="72"/>
      <c r="AD446" s="32"/>
      <c r="AE446" s="32"/>
      <c r="AF446" s="32"/>
      <c r="AG446" s="32"/>
      <c r="AH446" s="32"/>
      <c r="AI446" s="72"/>
      <c r="AJ446" s="72"/>
      <c r="AK446" s="72"/>
      <c r="AL446" s="72"/>
      <c r="AM446" s="72"/>
      <c r="AN446" s="72"/>
      <c r="AO446" s="72"/>
      <c r="AP446" s="72"/>
      <c r="AQ446" s="72"/>
      <c r="AR446" s="72"/>
      <c r="AS446" s="72"/>
      <c r="AT446" s="72"/>
      <c r="AU446" s="72"/>
    </row>
    <row r="447" customFormat="false" ht="15.75" hidden="false" customHeight="false" outlineLevel="0" collapsed="false">
      <c r="A447" s="73"/>
      <c r="B447" s="72"/>
      <c r="C447" s="72"/>
      <c r="D447" s="72"/>
      <c r="E447" s="7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72"/>
      <c r="AC447" s="72"/>
      <c r="AD447" s="32"/>
      <c r="AE447" s="32"/>
      <c r="AF447" s="32"/>
      <c r="AG447" s="32"/>
      <c r="AH447" s="32"/>
      <c r="AI447" s="72"/>
      <c r="AJ447" s="72"/>
      <c r="AK447" s="72"/>
      <c r="AL447" s="72"/>
      <c r="AM447" s="72"/>
      <c r="AN447" s="72"/>
      <c r="AO447" s="72"/>
      <c r="AP447" s="72"/>
      <c r="AQ447" s="72"/>
      <c r="AR447" s="72"/>
      <c r="AS447" s="72"/>
      <c r="AT447" s="72"/>
      <c r="AU447" s="72"/>
    </row>
    <row r="448" customFormat="false" ht="15.75" hidden="false" customHeight="false" outlineLevel="0" collapsed="false">
      <c r="A448" s="73"/>
      <c r="B448" s="72"/>
      <c r="C448" s="72"/>
      <c r="D448" s="72"/>
      <c r="E448" s="7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72"/>
      <c r="AC448" s="72"/>
      <c r="AD448" s="32"/>
      <c r="AE448" s="32"/>
      <c r="AF448" s="32"/>
      <c r="AG448" s="32"/>
      <c r="AH448" s="32"/>
      <c r="AI448" s="72"/>
      <c r="AJ448" s="72"/>
      <c r="AK448" s="72"/>
      <c r="AL448" s="72"/>
      <c r="AM448" s="72"/>
      <c r="AN448" s="72"/>
      <c r="AO448" s="72"/>
      <c r="AP448" s="72"/>
      <c r="AQ448" s="72"/>
      <c r="AR448" s="72"/>
      <c r="AS448" s="72"/>
      <c r="AT448" s="72"/>
      <c r="AU448" s="72"/>
    </row>
    <row r="449" customFormat="false" ht="15.75" hidden="false" customHeight="false" outlineLevel="0" collapsed="false">
      <c r="A449" s="73"/>
      <c r="B449" s="72"/>
      <c r="C449" s="72"/>
      <c r="D449" s="72"/>
      <c r="E449" s="7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72"/>
      <c r="AC449" s="72"/>
      <c r="AD449" s="32"/>
      <c r="AE449" s="32"/>
      <c r="AF449" s="32"/>
      <c r="AG449" s="32"/>
      <c r="AH449" s="32"/>
      <c r="AI449" s="72"/>
      <c r="AJ449" s="72"/>
      <c r="AK449" s="72"/>
      <c r="AL449" s="72"/>
      <c r="AM449" s="72"/>
      <c r="AN449" s="72"/>
      <c r="AO449" s="72"/>
      <c r="AP449" s="72"/>
      <c r="AQ449" s="72"/>
      <c r="AR449" s="72"/>
      <c r="AS449" s="72"/>
      <c r="AT449" s="72"/>
      <c r="AU449" s="72"/>
    </row>
    <row r="450" customFormat="false" ht="15.75" hidden="false" customHeight="false" outlineLevel="0" collapsed="false">
      <c r="A450" s="73"/>
      <c r="B450" s="72"/>
      <c r="C450" s="72"/>
      <c r="D450" s="72"/>
      <c r="E450" s="7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72"/>
      <c r="AC450" s="72"/>
      <c r="AD450" s="32"/>
      <c r="AE450" s="32"/>
      <c r="AF450" s="32"/>
      <c r="AG450" s="32"/>
      <c r="AH450" s="32"/>
      <c r="AI450" s="72"/>
      <c r="AJ450" s="72"/>
      <c r="AK450" s="72"/>
      <c r="AL450" s="72"/>
      <c r="AM450" s="72"/>
      <c r="AN450" s="72"/>
      <c r="AO450" s="72"/>
      <c r="AP450" s="72"/>
      <c r="AQ450" s="72"/>
      <c r="AR450" s="72"/>
      <c r="AS450" s="72"/>
      <c r="AT450" s="72"/>
      <c r="AU450" s="72"/>
    </row>
    <row r="451" customFormat="false" ht="15.75" hidden="false" customHeight="false" outlineLevel="0" collapsed="false">
      <c r="A451" s="73"/>
      <c r="B451" s="72"/>
      <c r="C451" s="72"/>
      <c r="D451" s="72"/>
      <c r="E451" s="7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72"/>
      <c r="AC451" s="72"/>
      <c r="AD451" s="32"/>
      <c r="AE451" s="32"/>
      <c r="AF451" s="32"/>
      <c r="AG451" s="32"/>
      <c r="AH451" s="32"/>
      <c r="AI451" s="72"/>
      <c r="AJ451" s="72"/>
      <c r="AK451" s="72"/>
      <c r="AL451" s="72"/>
      <c r="AM451" s="72"/>
      <c r="AN451" s="72"/>
      <c r="AO451" s="72"/>
      <c r="AP451" s="72"/>
      <c r="AQ451" s="72"/>
      <c r="AR451" s="72"/>
      <c r="AS451" s="72"/>
      <c r="AT451" s="72"/>
      <c r="AU451" s="72"/>
    </row>
    <row r="452" customFormat="false" ht="15.75" hidden="false" customHeight="false" outlineLevel="0" collapsed="false">
      <c r="A452" s="73"/>
      <c r="B452" s="72"/>
      <c r="C452" s="72"/>
      <c r="D452" s="72"/>
      <c r="E452" s="7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72"/>
      <c r="AC452" s="72"/>
      <c r="AD452" s="32"/>
      <c r="AE452" s="32"/>
      <c r="AF452" s="32"/>
      <c r="AG452" s="32"/>
      <c r="AH452" s="32"/>
      <c r="AI452" s="72"/>
      <c r="AJ452" s="72"/>
      <c r="AK452" s="72"/>
      <c r="AL452" s="72"/>
      <c r="AM452" s="72"/>
      <c r="AN452" s="72"/>
      <c r="AO452" s="72"/>
      <c r="AP452" s="72"/>
      <c r="AQ452" s="72"/>
      <c r="AR452" s="72"/>
      <c r="AS452" s="72"/>
      <c r="AT452" s="72"/>
      <c r="AU452" s="72"/>
    </row>
    <row r="453" customFormat="false" ht="15.75" hidden="false" customHeight="false" outlineLevel="0" collapsed="false">
      <c r="A453" s="73"/>
      <c r="B453" s="72"/>
      <c r="C453" s="72"/>
      <c r="D453" s="72"/>
      <c r="E453" s="7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72"/>
      <c r="AC453" s="72"/>
      <c r="AD453" s="32"/>
      <c r="AE453" s="32"/>
      <c r="AF453" s="32"/>
      <c r="AG453" s="32"/>
      <c r="AH453" s="32"/>
      <c r="AI453" s="72"/>
      <c r="AJ453" s="72"/>
      <c r="AK453" s="72"/>
      <c r="AL453" s="72"/>
      <c r="AM453" s="72"/>
      <c r="AN453" s="72"/>
      <c r="AO453" s="72"/>
      <c r="AP453" s="72"/>
      <c r="AQ453" s="72"/>
      <c r="AR453" s="72"/>
      <c r="AS453" s="72"/>
      <c r="AT453" s="72"/>
      <c r="AU453" s="72"/>
    </row>
    <row r="454" customFormat="false" ht="15.75" hidden="false" customHeight="false" outlineLevel="0" collapsed="false">
      <c r="A454" s="73"/>
      <c r="B454" s="72"/>
      <c r="C454" s="72"/>
      <c r="D454" s="72"/>
      <c r="E454" s="7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72"/>
      <c r="AC454" s="72"/>
      <c r="AD454" s="32"/>
      <c r="AE454" s="32"/>
      <c r="AF454" s="32"/>
      <c r="AG454" s="32"/>
      <c r="AH454" s="32"/>
      <c r="AI454" s="72"/>
      <c r="AJ454" s="72"/>
      <c r="AK454" s="72"/>
      <c r="AL454" s="72"/>
      <c r="AM454" s="72"/>
      <c r="AN454" s="72"/>
      <c r="AO454" s="72"/>
      <c r="AP454" s="72"/>
      <c r="AQ454" s="72"/>
      <c r="AR454" s="72"/>
      <c r="AS454" s="72"/>
      <c r="AT454" s="72"/>
      <c r="AU454" s="72"/>
    </row>
    <row r="455" customFormat="false" ht="15.75" hidden="false" customHeight="false" outlineLevel="0" collapsed="false">
      <c r="A455" s="73"/>
      <c r="B455" s="72"/>
      <c r="C455" s="72"/>
      <c r="D455" s="72"/>
      <c r="E455" s="7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72"/>
      <c r="AC455" s="72"/>
      <c r="AD455" s="32"/>
      <c r="AE455" s="32"/>
      <c r="AF455" s="32"/>
      <c r="AG455" s="32"/>
      <c r="AH455" s="32"/>
      <c r="AI455" s="72"/>
      <c r="AJ455" s="72"/>
      <c r="AK455" s="72"/>
      <c r="AL455" s="72"/>
      <c r="AM455" s="72"/>
      <c r="AN455" s="72"/>
      <c r="AO455" s="72"/>
      <c r="AP455" s="72"/>
      <c r="AQ455" s="72"/>
      <c r="AR455" s="72"/>
      <c r="AS455" s="72"/>
      <c r="AT455" s="72"/>
      <c r="AU455" s="72"/>
    </row>
    <row r="456" customFormat="false" ht="15.75" hidden="false" customHeight="false" outlineLevel="0" collapsed="false">
      <c r="A456" s="73"/>
      <c r="B456" s="72"/>
      <c r="C456" s="72"/>
      <c r="D456" s="72"/>
      <c r="E456" s="7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72"/>
      <c r="AC456" s="72"/>
      <c r="AD456" s="32"/>
      <c r="AE456" s="32"/>
      <c r="AF456" s="32"/>
      <c r="AG456" s="32"/>
      <c r="AH456" s="32"/>
      <c r="AI456" s="72"/>
      <c r="AJ456" s="72"/>
      <c r="AK456" s="72"/>
      <c r="AL456" s="72"/>
      <c r="AM456" s="72"/>
      <c r="AN456" s="72"/>
      <c r="AO456" s="72"/>
      <c r="AP456" s="72"/>
      <c r="AQ456" s="72"/>
      <c r="AR456" s="72"/>
      <c r="AS456" s="72"/>
      <c r="AT456" s="72"/>
      <c r="AU456" s="72"/>
    </row>
    <row r="457" customFormat="false" ht="15.75" hidden="false" customHeight="false" outlineLevel="0" collapsed="false">
      <c r="A457" s="73"/>
      <c r="B457" s="72"/>
      <c r="C457" s="72"/>
      <c r="D457" s="72"/>
      <c r="E457" s="7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72"/>
      <c r="AC457" s="72"/>
      <c r="AD457" s="32"/>
      <c r="AE457" s="32"/>
      <c r="AF457" s="32"/>
      <c r="AG457" s="32"/>
      <c r="AH457" s="32"/>
      <c r="AI457" s="72"/>
      <c r="AJ457" s="72"/>
      <c r="AK457" s="72"/>
      <c r="AL457" s="72"/>
      <c r="AM457" s="72"/>
      <c r="AN457" s="72"/>
      <c r="AO457" s="72"/>
      <c r="AP457" s="72"/>
      <c r="AQ457" s="72"/>
      <c r="AR457" s="72"/>
      <c r="AS457" s="72"/>
      <c r="AT457" s="72"/>
      <c r="AU457" s="72"/>
    </row>
    <row r="458" customFormat="false" ht="15.75" hidden="false" customHeight="false" outlineLevel="0" collapsed="false">
      <c r="A458" s="73"/>
      <c r="B458" s="72"/>
      <c r="C458" s="72"/>
      <c r="D458" s="72"/>
      <c r="E458" s="7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72"/>
      <c r="AC458" s="72"/>
      <c r="AD458" s="32"/>
      <c r="AE458" s="32"/>
      <c r="AF458" s="32"/>
      <c r="AG458" s="32"/>
      <c r="AH458" s="32"/>
      <c r="AI458" s="72"/>
      <c r="AJ458" s="72"/>
      <c r="AK458" s="72"/>
      <c r="AL458" s="72"/>
      <c r="AM458" s="72"/>
      <c r="AN458" s="72"/>
      <c r="AO458" s="72"/>
      <c r="AP458" s="72"/>
      <c r="AQ458" s="72"/>
      <c r="AR458" s="72"/>
      <c r="AS458" s="72"/>
      <c r="AT458" s="72"/>
      <c r="AU458" s="72"/>
    </row>
    <row r="459" customFormat="false" ht="15.75" hidden="false" customHeight="false" outlineLevel="0" collapsed="false">
      <c r="A459" s="73"/>
      <c r="B459" s="72"/>
      <c r="C459" s="72"/>
      <c r="D459" s="72"/>
      <c r="E459" s="7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72"/>
      <c r="AC459" s="72"/>
      <c r="AD459" s="32"/>
      <c r="AE459" s="32"/>
      <c r="AF459" s="32"/>
      <c r="AG459" s="32"/>
      <c r="AH459" s="32"/>
      <c r="AI459" s="72"/>
      <c r="AJ459" s="72"/>
      <c r="AK459" s="72"/>
      <c r="AL459" s="72"/>
      <c r="AM459" s="72"/>
      <c r="AN459" s="72"/>
      <c r="AO459" s="72"/>
      <c r="AP459" s="72"/>
      <c r="AQ459" s="72"/>
      <c r="AR459" s="72"/>
      <c r="AS459" s="72"/>
      <c r="AT459" s="72"/>
      <c r="AU459" s="72"/>
    </row>
    <row r="460" customFormat="false" ht="15.75" hidden="false" customHeight="false" outlineLevel="0" collapsed="false">
      <c r="A460" s="73"/>
      <c r="B460" s="72"/>
      <c r="C460" s="72"/>
      <c r="D460" s="72"/>
      <c r="E460" s="7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72"/>
      <c r="AC460" s="72"/>
      <c r="AD460" s="32"/>
      <c r="AE460" s="32"/>
      <c r="AF460" s="32"/>
      <c r="AG460" s="32"/>
      <c r="AH460" s="32"/>
      <c r="AI460" s="72"/>
      <c r="AJ460" s="72"/>
      <c r="AK460" s="72"/>
      <c r="AL460" s="72"/>
      <c r="AM460" s="72"/>
      <c r="AN460" s="72"/>
      <c r="AO460" s="72"/>
      <c r="AP460" s="72"/>
      <c r="AQ460" s="72"/>
      <c r="AR460" s="72"/>
      <c r="AS460" s="72"/>
      <c r="AT460" s="72"/>
      <c r="AU460" s="72"/>
    </row>
    <row r="461" customFormat="false" ht="15.75" hidden="false" customHeight="false" outlineLevel="0" collapsed="false">
      <c r="A461" s="73"/>
      <c r="B461" s="72"/>
      <c r="C461" s="72"/>
      <c r="D461" s="72"/>
      <c r="E461" s="7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72"/>
      <c r="AC461" s="72"/>
      <c r="AD461" s="32"/>
      <c r="AE461" s="32"/>
      <c r="AF461" s="32"/>
      <c r="AG461" s="32"/>
      <c r="AH461" s="32"/>
      <c r="AI461" s="72"/>
      <c r="AJ461" s="72"/>
      <c r="AK461" s="72"/>
      <c r="AL461" s="72"/>
      <c r="AM461" s="72"/>
      <c r="AN461" s="72"/>
      <c r="AO461" s="72"/>
      <c r="AP461" s="72"/>
      <c r="AQ461" s="72"/>
      <c r="AR461" s="72"/>
      <c r="AS461" s="72"/>
      <c r="AT461" s="72"/>
      <c r="AU461" s="72"/>
    </row>
    <row r="462" customFormat="false" ht="15.75" hidden="false" customHeight="false" outlineLevel="0" collapsed="false">
      <c r="A462" s="73"/>
      <c r="B462" s="72"/>
      <c r="C462" s="72"/>
      <c r="D462" s="72"/>
      <c r="E462" s="7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72"/>
      <c r="AC462" s="72"/>
      <c r="AD462" s="32"/>
      <c r="AE462" s="32"/>
      <c r="AF462" s="32"/>
      <c r="AG462" s="32"/>
      <c r="AH462" s="32"/>
      <c r="AI462" s="72"/>
      <c r="AJ462" s="72"/>
      <c r="AK462" s="72"/>
      <c r="AL462" s="72"/>
      <c r="AM462" s="72"/>
      <c r="AN462" s="72"/>
      <c r="AO462" s="72"/>
      <c r="AP462" s="72"/>
      <c r="AQ462" s="72"/>
      <c r="AR462" s="72"/>
      <c r="AS462" s="72"/>
      <c r="AT462" s="72"/>
      <c r="AU462" s="72"/>
    </row>
    <row r="463" customFormat="false" ht="15.75" hidden="false" customHeight="false" outlineLevel="0" collapsed="false">
      <c r="A463" s="73"/>
      <c r="B463" s="72"/>
      <c r="C463" s="72"/>
      <c r="D463" s="72"/>
      <c r="E463" s="7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72"/>
      <c r="AC463" s="72"/>
      <c r="AD463" s="32"/>
      <c r="AE463" s="32"/>
      <c r="AF463" s="32"/>
      <c r="AG463" s="32"/>
      <c r="AH463" s="32"/>
      <c r="AI463" s="72"/>
      <c r="AJ463" s="72"/>
      <c r="AK463" s="72"/>
      <c r="AL463" s="72"/>
      <c r="AM463" s="72"/>
      <c r="AN463" s="72"/>
      <c r="AO463" s="72"/>
      <c r="AP463" s="72"/>
      <c r="AQ463" s="72"/>
      <c r="AR463" s="72"/>
      <c r="AS463" s="72"/>
      <c r="AT463" s="72"/>
      <c r="AU463" s="72"/>
    </row>
    <row r="464" customFormat="false" ht="15.75" hidden="false" customHeight="false" outlineLevel="0" collapsed="false">
      <c r="A464" s="73"/>
      <c r="B464" s="72"/>
      <c r="C464" s="72"/>
      <c r="D464" s="72"/>
      <c r="E464" s="7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72"/>
      <c r="AC464" s="72"/>
      <c r="AD464" s="32"/>
      <c r="AE464" s="32"/>
      <c r="AF464" s="32"/>
      <c r="AG464" s="32"/>
      <c r="AH464" s="32"/>
      <c r="AI464" s="72"/>
      <c r="AJ464" s="72"/>
      <c r="AK464" s="72"/>
      <c r="AL464" s="72"/>
      <c r="AM464" s="72"/>
      <c r="AN464" s="72"/>
      <c r="AO464" s="72"/>
      <c r="AP464" s="72"/>
      <c r="AQ464" s="72"/>
      <c r="AR464" s="72"/>
      <c r="AS464" s="72"/>
      <c r="AT464" s="72"/>
      <c r="AU464" s="72"/>
    </row>
    <row r="465" customFormat="false" ht="15.75" hidden="false" customHeight="false" outlineLevel="0" collapsed="false">
      <c r="A465" s="73"/>
      <c r="B465" s="72"/>
      <c r="C465" s="72"/>
      <c r="D465" s="72"/>
      <c r="E465" s="7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72"/>
      <c r="AC465" s="72"/>
      <c r="AD465" s="32"/>
      <c r="AE465" s="32"/>
      <c r="AF465" s="32"/>
      <c r="AG465" s="32"/>
      <c r="AH465" s="32"/>
      <c r="AI465" s="72"/>
      <c r="AJ465" s="72"/>
      <c r="AK465" s="72"/>
      <c r="AL465" s="72"/>
      <c r="AM465" s="72"/>
      <c r="AN465" s="72"/>
      <c r="AO465" s="72"/>
      <c r="AP465" s="72"/>
      <c r="AQ465" s="72"/>
      <c r="AR465" s="72"/>
      <c r="AS465" s="72"/>
      <c r="AT465" s="72"/>
      <c r="AU465" s="72"/>
    </row>
    <row r="466" customFormat="false" ht="15.75" hidden="false" customHeight="false" outlineLevel="0" collapsed="false">
      <c r="A466" s="73"/>
      <c r="B466" s="72"/>
      <c r="C466" s="72"/>
      <c r="D466" s="72"/>
      <c r="E466" s="7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72"/>
      <c r="AC466" s="72"/>
      <c r="AD466" s="32"/>
      <c r="AE466" s="32"/>
      <c r="AF466" s="32"/>
      <c r="AG466" s="32"/>
      <c r="AH466" s="32"/>
      <c r="AI466" s="72"/>
      <c r="AJ466" s="72"/>
      <c r="AK466" s="72"/>
      <c r="AL466" s="72"/>
      <c r="AM466" s="72"/>
      <c r="AN466" s="72"/>
      <c r="AO466" s="72"/>
      <c r="AP466" s="72"/>
      <c r="AQ466" s="72"/>
      <c r="AR466" s="72"/>
      <c r="AS466" s="72"/>
      <c r="AT466" s="72"/>
      <c r="AU466" s="72"/>
    </row>
    <row r="467" customFormat="false" ht="15.75" hidden="false" customHeight="false" outlineLevel="0" collapsed="false">
      <c r="A467" s="73"/>
      <c r="B467" s="72"/>
      <c r="C467" s="72"/>
      <c r="D467" s="72"/>
      <c r="E467" s="7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72"/>
      <c r="AC467" s="72"/>
      <c r="AD467" s="32"/>
      <c r="AE467" s="32"/>
      <c r="AF467" s="32"/>
      <c r="AG467" s="32"/>
      <c r="AH467" s="32"/>
      <c r="AI467" s="72"/>
      <c r="AJ467" s="72"/>
      <c r="AK467" s="72"/>
      <c r="AL467" s="72"/>
      <c r="AM467" s="72"/>
      <c r="AN467" s="72"/>
      <c r="AO467" s="72"/>
      <c r="AP467" s="72"/>
      <c r="AQ467" s="72"/>
      <c r="AR467" s="72"/>
      <c r="AS467" s="72"/>
      <c r="AT467" s="72"/>
      <c r="AU467" s="72"/>
    </row>
    <row r="468" customFormat="false" ht="15.75" hidden="false" customHeight="false" outlineLevel="0" collapsed="false">
      <c r="A468" s="73"/>
      <c r="B468" s="72"/>
      <c r="C468" s="72"/>
      <c r="D468" s="72"/>
      <c r="E468" s="7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72"/>
      <c r="AC468" s="72"/>
      <c r="AD468" s="32"/>
      <c r="AE468" s="32"/>
      <c r="AF468" s="32"/>
      <c r="AG468" s="32"/>
      <c r="AH468" s="32"/>
      <c r="AI468" s="72"/>
      <c r="AJ468" s="72"/>
      <c r="AK468" s="72"/>
      <c r="AL468" s="72"/>
      <c r="AM468" s="72"/>
      <c r="AN468" s="72"/>
      <c r="AO468" s="72"/>
      <c r="AP468" s="72"/>
      <c r="AQ468" s="72"/>
      <c r="AR468" s="72"/>
      <c r="AS468" s="72"/>
      <c r="AT468" s="72"/>
      <c r="AU468" s="72"/>
    </row>
    <row r="469" customFormat="false" ht="15.75" hidden="false" customHeight="false" outlineLevel="0" collapsed="false">
      <c r="A469" s="73"/>
      <c r="B469" s="72"/>
      <c r="C469" s="72"/>
      <c r="D469" s="72"/>
      <c r="E469" s="7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72"/>
      <c r="AC469" s="72"/>
      <c r="AD469" s="32"/>
      <c r="AE469" s="32"/>
      <c r="AF469" s="32"/>
      <c r="AG469" s="32"/>
      <c r="AH469" s="32"/>
      <c r="AI469" s="72"/>
      <c r="AJ469" s="72"/>
      <c r="AK469" s="72"/>
      <c r="AL469" s="72"/>
      <c r="AM469" s="72"/>
      <c r="AN469" s="72"/>
      <c r="AO469" s="72"/>
      <c r="AP469" s="72"/>
      <c r="AQ469" s="72"/>
      <c r="AR469" s="72"/>
      <c r="AS469" s="72"/>
      <c r="AT469" s="72"/>
      <c r="AU469" s="72"/>
    </row>
    <row r="470" customFormat="false" ht="15.75" hidden="false" customHeight="false" outlineLevel="0" collapsed="false">
      <c r="A470" s="73"/>
      <c r="B470" s="72"/>
      <c r="C470" s="72"/>
      <c r="D470" s="72"/>
      <c r="E470" s="7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72"/>
      <c r="AC470" s="72"/>
      <c r="AD470" s="32"/>
      <c r="AE470" s="32"/>
      <c r="AF470" s="32"/>
      <c r="AG470" s="32"/>
      <c r="AH470" s="32"/>
      <c r="AI470" s="72"/>
      <c r="AJ470" s="72"/>
      <c r="AK470" s="72"/>
      <c r="AL470" s="72"/>
      <c r="AM470" s="72"/>
      <c r="AN470" s="72"/>
      <c r="AO470" s="72"/>
      <c r="AP470" s="72"/>
      <c r="AQ470" s="72"/>
      <c r="AR470" s="72"/>
      <c r="AS470" s="72"/>
      <c r="AT470" s="72"/>
      <c r="AU470" s="72"/>
    </row>
    <row r="471" customFormat="false" ht="15.75" hidden="false" customHeight="false" outlineLevel="0" collapsed="false">
      <c r="A471" s="73"/>
      <c r="B471" s="72"/>
      <c r="C471" s="72"/>
      <c r="D471" s="72"/>
      <c r="E471" s="7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72"/>
      <c r="AC471" s="72"/>
      <c r="AD471" s="32"/>
      <c r="AE471" s="32"/>
      <c r="AF471" s="32"/>
      <c r="AG471" s="32"/>
      <c r="AH471" s="32"/>
      <c r="AI471" s="72"/>
      <c r="AJ471" s="72"/>
      <c r="AK471" s="72"/>
      <c r="AL471" s="72"/>
      <c r="AM471" s="72"/>
      <c r="AN471" s="72"/>
      <c r="AO471" s="72"/>
      <c r="AP471" s="72"/>
      <c r="AQ471" s="72"/>
      <c r="AR471" s="72"/>
      <c r="AS471" s="72"/>
      <c r="AT471" s="72"/>
      <c r="AU471" s="72"/>
    </row>
    <row r="472" customFormat="false" ht="15.75" hidden="false" customHeight="false" outlineLevel="0" collapsed="false">
      <c r="A472" s="73"/>
      <c r="B472" s="72"/>
      <c r="C472" s="72"/>
      <c r="D472" s="72"/>
      <c r="E472" s="7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72"/>
      <c r="AC472" s="72"/>
      <c r="AD472" s="32"/>
      <c r="AE472" s="32"/>
      <c r="AF472" s="32"/>
      <c r="AG472" s="32"/>
      <c r="AH472" s="32"/>
      <c r="AI472" s="72"/>
      <c r="AJ472" s="72"/>
      <c r="AK472" s="72"/>
      <c r="AL472" s="72"/>
      <c r="AM472" s="72"/>
      <c r="AN472" s="72"/>
      <c r="AO472" s="72"/>
      <c r="AP472" s="72"/>
      <c r="AQ472" s="72"/>
      <c r="AR472" s="72"/>
      <c r="AS472" s="72"/>
      <c r="AT472" s="72"/>
      <c r="AU472" s="72"/>
    </row>
    <row r="473" customFormat="false" ht="15.75" hidden="false" customHeight="false" outlineLevel="0" collapsed="false">
      <c r="A473" s="73"/>
      <c r="B473" s="72"/>
      <c r="C473" s="72"/>
      <c r="D473" s="72"/>
      <c r="E473" s="7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72"/>
      <c r="AC473" s="72"/>
      <c r="AD473" s="32"/>
      <c r="AE473" s="32"/>
      <c r="AF473" s="32"/>
      <c r="AG473" s="32"/>
      <c r="AH473" s="32"/>
      <c r="AI473" s="72"/>
      <c r="AJ473" s="72"/>
      <c r="AK473" s="72"/>
      <c r="AL473" s="72"/>
      <c r="AM473" s="72"/>
      <c r="AN473" s="72"/>
      <c r="AO473" s="72"/>
      <c r="AP473" s="72"/>
      <c r="AQ473" s="72"/>
      <c r="AR473" s="72"/>
      <c r="AS473" s="72"/>
      <c r="AT473" s="72"/>
      <c r="AU473" s="72"/>
    </row>
    <row r="474" customFormat="false" ht="15.75" hidden="false" customHeight="false" outlineLevel="0" collapsed="false">
      <c r="A474" s="73"/>
      <c r="B474" s="72"/>
      <c r="C474" s="72"/>
      <c r="D474" s="72"/>
      <c r="E474" s="7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72"/>
      <c r="AC474" s="72"/>
      <c r="AD474" s="32"/>
      <c r="AE474" s="32"/>
      <c r="AF474" s="32"/>
      <c r="AG474" s="32"/>
      <c r="AH474" s="32"/>
      <c r="AI474" s="72"/>
      <c r="AJ474" s="72"/>
      <c r="AK474" s="72"/>
      <c r="AL474" s="72"/>
      <c r="AM474" s="72"/>
      <c r="AN474" s="72"/>
      <c r="AO474" s="72"/>
      <c r="AP474" s="72"/>
      <c r="AQ474" s="72"/>
      <c r="AR474" s="72"/>
      <c r="AS474" s="72"/>
      <c r="AT474" s="72"/>
      <c r="AU474" s="72"/>
    </row>
    <row r="475" customFormat="false" ht="15.75" hidden="false" customHeight="false" outlineLevel="0" collapsed="false">
      <c r="A475" s="73"/>
      <c r="B475" s="72"/>
      <c r="C475" s="72"/>
      <c r="D475" s="72"/>
      <c r="E475" s="7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72"/>
      <c r="AC475" s="72"/>
      <c r="AD475" s="32"/>
      <c r="AE475" s="32"/>
      <c r="AF475" s="32"/>
      <c r="AG475" s="32"/>
      <c r="AH475" s="32"/>
      <c r="AI475" s="72"/>
      <c r="AJ475" s="72"/>
      <c r="AK475" s="72"/>
      <c r="AL475" s="72"/>
      <c r="AM475" s="72"/>
      <c r="AN475" s="72"/>
      <c r="AO475" s="72"/>
      <c r="AP475" s="72"/>
      <c r="AQ475" s="72"/>
      <c r="AR475" s="72"/>
      <c r="AS475" s="72"/>
      <c r="AT475" s="72"/>
      <c r="AU475" s="72"/>
    </row>
    <row r="476" customFormat="false" ht="15.75" hidden="false" customHeight="false" outlineLevel="0" collapsed="false">
      <c r="A476" s="73"/>
      <c r="B476" s="72"/>
      <c r="C476" s="72"/>
      <c r="D476" s="72"/>
      <c r="E476" s="7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72"/>
      <c r="AC476" s="72"/>
      <c r="AD476" s="32"/>
      <c r="AE476" s="32"/>
      <c r="AF476" s="32"/>
      <c r="AG476" s="32"/>
      <c r="AH476" s="32"/>
      <c r="AI476" s="72"/>
      <c r="AJ476" s="72"/>
      <c r="AK476" s="72"/>
      <c r="AL476" s="72"/>
      <c r="AM476" s="72"/>
      <c r="AN476" s="72"/>
      <c r="AO476" s="72"/>
      <c r="AP476" s="72"/>
      <c r="AQ476" s="72"/>
      <c r="AR476" s="72"/>
      <c r="AS476" s="72"/>
      <c r="AT476" s="72"/>
      <c r="AU476" s="72"/>
    </row>
    <row r="477" customFormat="false" ht="15.75" hidden="false" customHeight="false" outlineLevel="0" collapsed="false">
      <c r="A477" s="73"/>
      <c r="B477" s="72"/>
      <c r="C477" s="72"/>
      <c r="D477" s="72"/>
      <c r="E477" s="7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72"/>
      <c r="AC477" s="72"/>
      <c r="AD477" s="32"/>
      <c r="AE477" s="32"/>
      <c r="AF477" s="32"/>
      <c r="AG477" s="32"/>
      <c r="AH477" s="32"/>
      <c r="AI477" s="72"/>
      <c r="AJ477" s="72"/>
      <c r="AK477" s="72"/>
      <c r="AL477" s="72"/>
      <c r="AM477" s="72"/>
      <c r="AN477" s="72"/>
      <c r="AO477" s="72"/>
      <c r="AP477" s="72"/>
      <c r="AQ477" s="72"/>
      <c r="AR477" s="72"/>
      <c r="AS477" s="72"/>
      <c r="AT477" s="72"/>
      <c r="AU477" s="72"/>
    </row>
    <row r="478" customFormat="false" ht="15.75" hidden="false" customHeight="false" outlineLevel="0" collapsed="false">
      <c r="A478" s="73"/>
      <c r="B478" s="72"/>
      <c r="C478" s="72"/>
      <c r="D478" s="72"/>
      <c r="E478" s="7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72"/>
      <c r="AC478" s="72"/>
      <c r="AD478" s="32"/>
      <c r="AE478" s="32"/>
      <c r="AF478" s="32"/>
      <c r="AG478" s="32"/>
      <c r="AH478" s="32"/>
      <c r="AI478" s="72"/>
      <c r="AJ478" s="72"/>
      <c r="AK478" s="72"/>
      <c r="AL478" s="72"/>
      <c r="AM478" s="72"/>
      <c r="AN478" s="72"/>
      <c r="AO478" s="72"/>
      <c r="AP478" s="72"/>
      <c r="AQ478" s="72"/>
      <c r="AR478" s="72"/>
      <c r="AS478" s="72"/>
      <c r="AT478" s="72"/>
      <c r="AU478" s="72"/>
    </row>
    <row r="479" customFormat="false" ht="15.75" hidden="false" customHeight="false" outlineLevel="0" collapsed="false">
      <c r="A479" s="73"/>
      <c r="B479" s="72"/>
      <c r="C479" s="72"/>
      <c r="D479" s="72"/>
      <c r="E479" s="7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72"/>
      <c r="AC479" s="72"/>
      <c r="AD479" s="32"/>
      <c r="AE479" s="32"/>
      <c r="AF479" s="32"/>
      <c r="AG479" s="32"/>
      <c r="AH479" s="32"/>
      <c r="AI479" s="72"/>
      <c r="AJ479" s="72"/>
      <c r="AK479" s="72"/>
      <c r="AL479" s="72"/>
      <c r="AM479" s="72"/>
      <c r="AN479" s="72"/>
      <c r="AO479" s="72"/>
      <c r="AP479" s="72"/>
      <c r="AQ479" s="72"/>
      <c r="AR479" s="72"/>
      <c r="AS479" s="72"/>
      <c r="AT479" s="72"/>
      <c r="AU479" s="72"/>
    </row>
    <row r="480" customFormat="false" ht="15.75" hidden="false" customHeight="false" outlineLevel="0" collapsed="false">
      <c r="A480" s="73"/>
      <c r="B480" s="72"/>
      <c r="C480" s="72"/>
      <c r="D480" s="72"/>
      <c r="E480" s="7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72"/>
      <c r="AC480" s="72"/>
      <c r="AD480" s="32"/>
      <c r="AE480" s="32"/>
      <c r="AF480" s="32"/>
      <c r="AG480" s="32"/>
      <c r="AH480" s="32"/>
      <c r="AI480" s="72"/>
      <c r="AJ480" s="72"/>
      <c r="AK480" s="72"/>
      <c r="AL480" s="72"/>
      <c r="AM480" s="72"/>
      <c r="AN480" s="72"/>
      <c r="AO480" s="72"/>
      <c r="AP480" s="72"/>
      <c r="AQ480" s="72"/>
      <c r="AR480" s="72"/>
      <c r="AS480" s="72"/>
      <c r="AT480" s="72"/>
      <c r="AU480" s="72"/>
    </row>
    <row r="481" customFormat="false" ht="15.75" hidden="false" customHeight="false" outlineLevel="0" collapsed="false">
      <c r="A481" s="73"/>
      <c r="B481" s="72"/>
      <c r="C481" s="72"/>
      <c r="D481" s="72"/>
      <c r="E481" s="7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72"/>
      <c r="AC481" s="72"/>
      <c r="AD481" s="32"/>
      <c r="AE481" s="32"/>
      <c r="AF481" s="32"/>
      <c r="AG481" s="32"/>
      <c r="AH481" s="32"/>
      <c r="AI481" s="72"/>
      <c r="AJ481" s="72"/>
      <c r="AK481" s="72"/>
      <c r="AL481" s="72"/>
      <c r="AM481" s="72"/>
      <c r="AN481" s="72"/>
      <c r="AO481" s="72"/>
      <c r="AP481" s="72"/>
      <c r="AQ481" s="72"/>
      <c r="AR481" s="72"/>
      <c r="AS481" s="72"/>
      <c r="AT481" s="72"/>
      <c r="AU481" s="72"/>
    </row>
    <row r="482" customFormat="false" ht="15.75" hidden="false" customHeight="false" outlineLevel="0" collapsed="false">
      <c r="A482" s="73"/>
      <c r="B482" s="72"/>
      <c r="C482" s="72"/>
      <c r="D482" s="72"/>
      <c r="E482" s="7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72"/>
      <c r="AC482" s="72"/>
      <c r="AD482" s="32"/>
      <c r="AE482" s="32"/>
      <c r="AF482" s="32"/>
      <c r="AG482" s="32"/>
      <c r="AH482" s="32"/>
      <c r="AI482" s="72"/>
      <c r="AJ482" s="72"/>
      <c r="AK482" s="72"/>
      <c r="AL482" s="72"/>
      <c r="AM482" s="72"/>
      <c r="AN482" s="72"/>
      <c r="AO482" s="72"/>
      <c r="AP482" s="72"/>
      <c r="AQ482" s="72"/>
      <c r="AR482" s="72"/>
      <c r="AS482" s="72"/>
      <c r="AT482" s="72"/>
      <c r="AU482" s="72"/>
    </row>
    <row r="483" customFormat="false" ht="15.75" hidden="false" customHeight="false" outlineLevel="0" collapsed="false">
      <c r="A483" s="73"/>
      <c r="B483" s="72"/>
      <c r="C483" s="72"/>
      <c r="D483" s="72"/>
      <c r="E483" s="7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72"/>
      <c r="AC483" s="72"/>
      <c r="AD483" s="32"/>
      <c r="AE483" s="32"/>
      <c r="AF483" s="32"/>
      <c r="AG483" s="32"/>
      <c r="AH483" s="32"/>
      <c r="AI483" s="72"/>
      <c r="AJ483" s="72"/>
      <c r="AK483" s="72"/>
      <c r="AL483" s="72"/>
      <c r="AM483" s="72"/>
      <c r="AN483" s="72"/>
      <c r="AO483" s="72"/>
      <c r="AP483" s="72"/>
      <c r="AQ483" s="72"/>
      <c r="AR483" s="72"/>
      <c r="AS483" s="72"/>
      <c r="AT483" s="72"/>
      <c r="AU483" s="72"/>
    </row>
    <row r="484" customFormat="false" ht="15.75" hidden="false" customHeight="false" outlineLevel="0" collapsed="false">
      <c r="A484" s="73"/>
      <c r="B484" s="72"/>
      <c r="C484" s="72"/>
      <c r="D484" s="72"/>
      <c r="E484" s="7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72"/>
      <c r="AC484" s="72"/>
      <c r="AD484" s="32"/>
      <c r="AE484" s="32"/>
      <c r="AF484" s="32"/>
      <c r="AG484" s="32"/>
      <c r="AH484" s="32"/>
      <c r="AI484" s="72"/>
      <c r="AJ484" s="72"/>
      <c r="AK484" s="72"/>
      <c r="AL484" s="72"/>
      <c r="AM484" s="72"/>
      <c r="AN484" s="72"/>
      <c r="AO484" s="72"/>
      <c r="AP484" s="72"/>
      <c r="AQ484" s="72"/>
      <c r="AR484" s="72"/>
      <c r="AS484" s="72"/>
      <c r="AT484" s="72"/>
      <c r="AU484" s="72"/>
    </row>
    <row r="485" customFormat="false" ht="15.75" hidden="false" customHeight="false" outlineLevel="0" collapsed="false">
      <c r="A485" s="73"/>
      <c r="B485" s="72"/>
      <c r="C485" s="72"/>
      <c r="D485" s="72"/>
      <c r="E485" s="7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72"/>
      <c r="AC485" s="72"/>
      <c r="AD485" s="32"/>
      <c r="AE485" s="32"/>
      <c r="AF485" s="32"/>
      <c r="AG485" s="32"/>
      <c r="AH485" s="32"/>
      <c r="AI485" s="72"/>
      <c r="AJ485" s="72"/>
      <c r="AK485" s="72"/>
      <c r="AL485" s="72"/>
      <c r="AM485" s="72"/>
      <c r="AN485" s="72"/>
      <c r="AO485" s="72"/>
      <c r="AP485" s="72"/>
      <c r="AQ485" s="72"/>
      <c r="AR485" s="72"/>
      <c r="AS485" s="72"/>
      <c r="AT485" s="72"/>
      <c r="AU485" s="72"/>
    </row>
    <row r="486" customFormat="false" ht="15.75" hidden="false" customHeight="false" outlineLevel="0" collapsed="false">
      <c r="A486" s="73"/>
      <c r="B486" s="72"/>
      <c r="C486" s="72"/>
      <c r="D486" s="72"/>
      <c r="E486" s="7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72"/>
      <c r="AC486" s="72"/>
      <c r="AD486" s="32"/>
      <c r="AE486" s="32"/>
      <c r="AF486" s="32"/>
      <c r="AG486" s="32"/>
      <c r="AH486" s="32"/>
      <c r="AI486" s="72"/>
      <c r="AJ486" s="72"/>
      <c r="AK486" s="72"/>
      <c r="AL486" s="72"/>
      <c r="AM486" s="72"/>
      <c r="AN486" s="72"/>
      <c r="AO486" s="72"/>
      <c r="AP486" s="72"/>
      <c r="AQ486" s="72"/>
      <c r="AR486" s="72"/>
      <c r="AS486" s="72"/>
      <c r="AT486" s="72"/>
      <c r="AU486" s="72"/>
    </row>
    <row r="487" customFormat="false" ht="15.75" hidden="false" customHeight="false" outlineLevel="0" collapsed="false">
      <c r="A487" s="73"/>
      <c r="B487" s="72"/>
      <c r="C487" s="72"/>
      <c r="D487" s="72"/>
      <c r="E487" s="7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72"/>
      <c r="AC487" s="72"/>
      <c r="AD487" s="32"/>
      <c r="AE487" s="32"/>
      <c r="AF487" s="32"/>
      <c r="AG487" s="32"/>
      <c r="AH487" s="32"/>
      <c r="AI487" s="72"/>
      <c r="AJ487" s="72"/>
      <c r="AK487" s="72"/>
      <c r="AL487" s="72"/>
      <c r="AM487" s="72"/>
      <c r="AN487" s="72"/>
      <c r="AO487" s="72"/>
      <c r="AP487" s="72"/>
      <c r="AQ487" s="72"/>
      <c r="AR487" s="72"/>
      <c r="AS487" s="72"/>
      <c r="AT487" s="72"/>
      <c r="AU487" s="72"/>
    </row>
    <row r="488" customFormat="false" ht="15.75" hidden="false" customHeight="false" outlineLevel="0" collapsed="false">
      <c r="A488" s="73"/>
      <c r="B488" s="72"/>
      <c r="C488" s="72"/>
      <c r="D488" s="72"/>
      <c r="E488" s="7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72"/>
      <c r="AC488" s="72"/>
      <c r="AD488" s="32"/>
      <c r="AE488" s="32"/>
      <c r="AF488" s="32"/>
      <c r="AG488" s="32"/>
      <c r="AH488" s="32"/>
      <c r="AI488" s="72"/>
      <c r="AJ488" s="72"/>
      <c r="AK488" s="72"/>
      <c r="AL488" s="72"/>
      <c r="AM488" s="72"/>
      <c r="AN488" s="72"/>
      <c r="AO488" s="72"/>
      <c r="AP488" s="72"/>
      <c r="AQ488" s="72"/>
      <c r="AR488" s="72"/>
      <c r="AS488" s="72"/>
      <c r="AT488" s="72"/>
      <c r="AU488" s="72"/>
    </row>
    <row r="489" customFormat="false" ht="15.75" hidden="false" customHeight="false" outlineLevel="0" collapsed="false">
      <c r="A489" s="73"/>
      <c r="B489" s="72"/>
      <c r="C489" s="72"/>
      <c r="D489" s="72"/>
      <c r="E489" s="7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72"/>
      <c r="AC489" s="72"/>
      <c r="AD489" s="32"/>
      <c r="AE489" s="32"/>
      <c r="AF489" s="32"/>
      <c r="AG489" s="32"/>
      <c r="AH489" s="32"/>
      <c r="AI489" s="72"/>
      <c r="AJ489" s="72"/>
      <c r="AK489" s="72"/>
      <c r="AL489" s="72"/>
      <c r="AM489" s="72"/>
      <c r="AN489" s="72"/>
      <c r="AO489" s="72"/>
      <c r="AP489" s="72"/>
      <c r="AQ489" s="72"/>
      <c r="AR489" s="72"/>
      <c r="AS489" s="72"/>
      <c r="AT489" s="72"/>
      <c r="AU489" s="72"/>
    </row>
    <row r="490" customFormat="false" ht="15.75" hidden="false" customHeight="false" outlineLevel="0" collapsed="false">
      <c r="A490" s="73"/>
      <c r="B490" s="72"/>
      <c r="C490" s="72"/>
      <c r="D490" s="72"/>
      <c r="E490" s="7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72"/>
      <c r="AC490" s="72"/>
      <c r="AD490" s="32"/>
      <c r="AE490" s="32"/>
      <c r="AF490" s="32"/>
      <c r="AG490" s="32"/>
      <c r="AH490" s="32"/>
      <c r="AI490" s="72"/>
      <c r="AJ490" s="72"/>
      <c r="AK490" s="72"/>
      <c r="AL490" s="72"/>
      <c r="AM490" s="72"/>
      <c r="AN490" s="72"/>
      <c r="AO490" s="72"/>
      <c r="AP490" s="72"/>
      <c r="AQ490" s="72"/>
      <c r="AR490" s="72"/>
      <c r="AS490" s="72"/>
      <c r="AT490" s="72"/>
      <c r="AU490" s="72"/>
    </row>
    <row r="491" customFormat="false" ht="15.75" hidden="false" customHeight="false" outlineLevel="0" collapsed="false">
      <c r="A491" s="73"/>
      <c r="B491" s="72"/>
      <c r="C491" s="72"/>
      <c r="D491" s="72"/>
      <c r="E491" s="7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72"/>
      <c r="AC491" s="72"/>
      <c r="AD491" s="32"/>
      <c r="AE491" s="32"/>
      <c r="AF491" s="32"/>
      <c r="AG491" s="32"/>
      <c r="AH491" s="32"/>
      <c r="AI491" s="72"/>
      <c r="AJ491" s="72"/>
      <c r="AK491" s="72"/>
      <c r="AL491" s="72"/>
      <c r="AM491" s="72"/>
      <c r="AN491" s="72"/>
      <c r="AO491" s="72"/>
      <c r="AP491" s="72"/>
      <c r="AQ491" s="72"/>
      <c r="AR491" s="72"/>
      <c r="AS491" s="72"/>
      <c r="AT491" s="72"/>
      <c r="AU491" s="72"/>
    </row>
    <row r="492" customFormat="false" ht="15.75" hidden="false" customHeight="false" outlineLevel="0" collapsed="false">
      <c r="A492" s="73"/>
      <c r="B492" s="72"/>
      <c r="C492" s="72"/>
      <c r="D492" s="72"/>
      <c r="E492" s="7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72"/>
      <c r="AC492" s="72"/>
      <c r="AD492" s="32"/>
      <c r="AE492" s="32"/>
      <c r="AF492" s="32"/>
      <c r="AG492" s="32"/>
      <c r="AH492" s="32"/>
      <c r="AI492" s="72"/>
      <c r="AJ492" s="72"/>
      <c r="AK492" s="72"/>
      <c r="AL492" s="72"/>
      <c r="AM492" s="72"/>
      <c r="AN492" s="72"/>
      <c r="AO492" s="72"/>
      <c r="AP492" s="72"/>
      <c r="AQ492" s="72"/>
      <c r="AR492" s="72"/>
      <c r="AS492" s="72"/>
      <c r="AT492" s="72"/>
      <c r="AU492" s="72"/>
    </row>
    <row r="493" customFormat="false" ht="15.75" hidden="false" customHeight="false" outlineLevel="0" collapsed="false">
      <c r="A493" s="73"/>
      <c r="B493" s="72"/>
      <c r="C493" s="72"/>
      <c r="D493" s="72"/>
      <c r="E493" s="7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72"/>
      <c r="AC493" s="72"/>
      <c r="AD493" s="32"/>
      <c r="AE493" s="32"/>
      <c r="AF493" s="32"/>
      <c r="AG493" s="32"/>
      <c r="AH493" s="32"/>
      <c r="AI493" s="72"/>
      <c r="AJ493" s="72"/>
      <c r="AK493" s="72"/>
      <c r="AL493" s="72"/>
      <c r="AM493" s="72"/>
      <c r="AN493" s="72"/>
      <c r="AO493" s="72"/>
      <c r="AP493" s="72"/>
      <c r="AQ493" s="72"/>
      <c r="AR493" s="72"/>
      <c r="AS493" s="72"/>
      <c r="AT493" s="72"/>
      <c r="AU493" s="72"/>
    </row>
  </sheetData>
  <mergeCells count="48">
    <mergeCell ref="AS1:AU1"/>
    <mergeCell ref="AS2:AU2"/>
    <mergeCell ref="A4:AU4"/>
    <mergeCell ref="A6:A8"/>
    <mergeCell ref="B6:B8"/>
    <mergeCell ref="C6:C8"/>
    <mergeCell ref="D6:D8"/>
    <mergeCell ref="E6:E8"/>
    <mergeCell ref="F6:AH6"/>
    <mergeCell ref="AI6:AI8"/>
    <mergeCell ref="AJ6:AJ8"/>
    <mergeCell ref="AK6:AK8"/>
    <mergeCell ref="AL6:AL8"/>
    <mergeCell ref="AM6:AM8"/>
    <mergeCell ref="AN6:AN8"/>
    <mergeCell ref="AO6:AO8"/>
    <mergeCell ref="AP6:AP8"/>
    <mergeCell ref="AQ6:AQ8"/>
    <mergeCell ref="AR6:AR8"/>
    <mergeCell ref="AS6:AS8"/>
    <mergeCell ref="AT6:AT8"/>
    <mergeCell ref="AU6:AU8"/>
    <mergeCell ref="F7:F8"/>
    <mergeCell ref="G7:L7"/>
    <mergeCell ref="M7:R7"/>
    <mergeCell ref="S7:X7"/>
    <mergeCell ref="Y7:AC7"/>
    <mergeCell ref="AD7:AH7"/>
    <mergeCell ref="A121:A134"/>
    <mergeCell ref="B121:E121"/>
    <mergeCell ref="B122:E122"/>
    <mergeCell ref="B123:E123"/>
    <mergeCell ref="B124:E124"/>
    <mergeCell ref="B125:E125"/>
    <mergeCell ref="B126:E126"/>
    <mergeCell ref="B127:E127"/>
    <mergeCell ref="B128:E128"/>
    <mergeCell ref="B129:E129"/>
    <mergeCell ref="B130:E130"/>
    <mergeCell ref="B131:E131"/>
    <mergeCell ref="B132:E132"/>
    <mergeCell ref="B133:E133"/>
    <mergeCell ref="B134:E134"/>
    <mergeCell ref="B135:D135"/>
    <mergeCell ref="B136:D136"/>
    <mergeCell ref="B137:D137"/>
    <mergeCell ref="B138:D138"/>
    <mergeCell ref="B139:D139"/>
  </mergeCells>
  <printOptions headings="false" gridLines="false" gridLinesSet="true" horizontalCentered="false" verticalCentered="false"/>
  <pageMargins left="0.39375" right="0.39375" top="0.747916666666667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13820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2023-11-23T10:09:58Z</cp:lastPrinted>
  <dcterms:modified xsi:type="dcterms:W3CDTF">2024-11-18T17:45:41Z</dcterms:modified>
  <cp:revision>393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